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omments/comment1.xml" ContentType="application/vnd.openxmlformats-officedocument.spreadsheetml.comments+xml"/>
  <Override PartName="/xl/worksheets/sheet4.xml" ContentType="application/vnd.openxmlformats-officedocument.spreadsheetml.worksheet+xml"/>
  <Override PartName="/xl/drawings/drawing1.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ver" sheetId="1" state="visible" r:id="rId1"/>
    <sheet name="How To Use" sheetId="2" state="visible" r:id="rId2"/>
    <sheet name="Inputs" sheetId="3" state="visible" r:id="rId3"/>
    <sheet name="Flow Scanner" sheetId="4" state="visible" r:id="rId4"/>
    <sheet name="Contract Detail" sheetId="5" state="visible" r:id="rId5"/>
    <sheet name="Market Scans" sheetId="6" state="visible" r:id="rId6"/>
    <sheet name="Threshold Scenarios" sheetId="7" state="visible" r:id="rId7"/>
    <sheet name="Position Sizing" sheetId="8" state="visible" r:id="rId8"/>
    <sheet name="Sector Comparison" sheetId="9" state="visible" r:id="rId9"/>
    <sheet name="Scoring Method" sheetId="10" state="visible" r:id="rId10"/>
  </sheets>
  <definedNames/>
  <calcPr calcId="124519" fullCalcOnLoad="1"/>
</workbook>
</file>

<file path=xl/styles.xml><?xml version="1.0" encoding="utf-8"?>
<styleSheet xmlns="http://schemas.openxmlformats.org/spreadsheetml/2006/main">
  <numFmts count="6">
    <numFmt numFmtId="164" formatCode="&quot;$&quot;#,##0"/>
    <numFmt numFmtId="165" formatCode="0.0"/>
    <numFmt numFmtId="166" formatCode="&quot;$&quot;#,##0.00"/>
    <numFmt numFmtId="167" formatCode="0.0000"/>
    <numFmt numFmtId="168" formatCode="0.00000"/>
    <numFmt numFmtId="169" formatCode="0.0%"/>
  </numFmts>
  <fonts count="15">
    <font>
      <name val="Calibri"/>
      <family val="2"/>
      <color theme="1"/>
      <sz val="11"/>
      <scheme val="minor"/>
    </font>
    <font>
      <name val="Calibri"/>
      <b val="1"/>
      <color rgb="00FFFFFF"/>
      <sz val="26"/>
    </font>
    <font>
      <name val="Calibri"/>
      <color rgb="00FFD60A"/>
      <sz val="14"/>
    </font>
    <font>
      <name val="Calibri"/>
      <color rgb="00FFFFFF"/>
      <sz val="11"/>
    </font>
    <font>
      <name val="Calibri"/>
      <b val="1"/>
      <color rgb="00FFD60A"/>
      <sz val="11"/>
    </font>
    <font>
      <name val="Calibri"/>
      <b val="1"/>
      <color rgb="00003366"/>
      <sz val="18"/>
    </font>
    <font>
      <name val="Calibri"/>
      <i val="1"/>
      <color rgb="006B7280"/>
      <sz val="9"/>
    </font>
    <font>
      <name val="Calibri"/>
      <sz val="11"/>
    </font>
    <font>
      <name val="Calibri"/>
      <b val="1"/>
      <color rgb="00FFFFFF"/>
      <sz val="11"/>
    </font>
    <font>
      <name val="Calibri"/>
      <b val="1"/>
      <sz val="11"/>
    </font>
    <font>
      <name val="Calibri"/>
      <b val="1"/>
      <color rgb="000066CC"/>
      <sz val="13"/>
    </font>
    <font>
      <name val="Calibri"/>
      <b val="1"/>
      <color rgb="00B0211A"/>
      <sz val="11"/>
    </font>
    <font>
      <name val="Consolas"/>
      <color rgb="00003366"/>
      <sz val="10"/>
    </font>
    <font>
      <name val="Calibri"/>
      <b val="1"/>
      <color rgb="006B7280"/>
      <sz val="9"/>
    </font>
    <font>
      <name val="Calibri"/>
      <b val="1"/>
      <color rgb="00003366"/>
      <sz val="20"/>
    </font>
  </fonts>
  <fills count="7">
    <fill>
      <patternFill/>
    </fill>
    <fill>
      <patternFill patternType="gray125"/>
    </fill>
    <fill>
      <patternFill patternType="solid">
        <fgColor rgb="00003366"/>
      </patternFill>
    </fill>
    <fill>
      <patternFill patternType="solid">
        <fgColor rgb="000066CC"/>
      </patternFill>
    </fill>
    <fill>
      <patternFill patternType="solid">
        <fgColor rgb="00F4F6F8"/>
      </patternFill>
    </fill>
    <fill>
      <patternFill patternType="solid">
        <fgColor rgb="00FFFF00"/>
      </patternFill>
    </fill>
    <fill>
      <patternFill patternType="solid">
        <fgColor rgb="00D9E7F5"/>
      </patternFill>
    </fill>
  </fills>
  <borders count="13">
    <border>
      <left/>
      <right/>
      <top/>
      <bottom/>
      <diagonal/>
    </border>
    <border>
      <left style="thin">
        <color rgb="00C9CDD2"/>
      </left>
      <right style="thin">
        <color rgb="00C9CDD2"/>
      </right>
      <top style="thin">
        <color rgb="00C9CDD2"/>
      </top>
      <bottom style="thin">
        <color rgb="00C9CDD2"/>
      </bottom>
    </border>
    <border>
      <left style="medium">
        <color rgb="00000000"/>
      </left>
      <right style="medium">
        <color rgb="00000000"/>
      </right>
      <top style="medium">
        <color rgb="00000000"/>
      </top>
      <bottom style="medium">
        <color rgb="00000000"/>
      </bottom>
    </border>
    <border>
      <left style="medium">
        <color rgb="00003366"/>
      </left>
      <right style="medium">
        <color rgb="00003366"/>
      </right>
      <top style="medium">
        <color rgb="00003366"/>
      </top>
      <bottom style="medium">
        <color rgb="00003366"/>
      </bottom>
    </border>
    <border>
      <left/>
      <right/>
      <top style="thin">
        <color rgb="00C9CDD2"/>
      </top>
      <bottom/>
      <diagonal/>
    </border>
    <border>
      <left/>
      <right style="thin">
        <color rgb="00C9CDD2"/>
      </right>
      <top style="thin">
        <color rgb="00C9CDD2"/>
      </top>
      <bottom/>
      <diagonal/>
    </border>
    <border>
      <left/>
      <right/>
      <top style="thin">
        <color rgb="00C9CDD2"/>
      </top>
      <bottom style="thin">
        <color rgb="00C9CDD2"/>
      </bottom>
      <diagonal/>
    </border>
    <border>
      <left/>
      <right style="thin">
        <color rgb="00C9CDD2"/>
      </right>
      <top style="thin">
        <color rgb="00C9CDD2"/>
      </top>
      <bottom style="thin">
        <color rgb="00C9CDD2"/>
      </bottom>
      <diagonal/>
    </border>
    <border>
      <left style="thin">
        <color rgb="00C9CDD2"/>
      </left>
      <right/>
      <top/>
      <bottom/>
      <diagonal/>
    </border>
    <border>
      <left/>
      <right style="thin">
        <color rgb="00C9CDD2"/>
      </right>
      <top/>
      <bottom/>
      <diagonal/>
    </border>
    <border>
      <left style="thin">
        <color rgb="00C9CDD2"/>
      </left>
      <right/>
      <top/>
      <bottom style="thin">
        <color rgb="00C9CDD2"/>
      </bottom>
      <diagonal/>
    </border>
    <border>
      <left/>
      <right/>
      <top/>
      <bottom style="thin">
        <color rgb="00C9CDD2"/>
      </bottom>
      <diagonal/>
    </border>
    <border>
      <left/>
      <right style="thin">
        <color rgb="00C9CDD2"/>
      </right>
      <top/>
      <bottom style="thin">
        <color rgb="00C9CDD2"/>
      </bottom>
      <diagonal/>
    </border>
  </borders>
  <cellStyleXfs count="1">
    <xf numFmtId="0" fontId="0" fillId="0" borderId="0"/>
  </cellStyleXfs>
  <cellXfs count="96">
    <xf numFmtId="0" fontId="0" fillId="0" borderId="0" pivotButton="0" quotePrefix="0" xfId="0"/>
    <xf numFmtId="0" fontId="0" fillId="2" borderId="0" pivotButton="0" quotePrefix="0" xfId="0"/>
    <xf numFmtId="0" fontId="1" fillId="2" borderId="0" applyAlignment="1" pivotButton="0" quotePrefix="0" xfId="0">
      <alignment horizontal="left" vertical="center"/>
    </xf>
    <xf numFmtId="0" fontId="2" fillId="2" borderId="0" applyAlignment="1" pivotButton="0" quotePrefix="0" xfId="0">
      <alignment horizontal="left" vertical="center"/>
    </xf>
    <xf numFmtId="0" fontId="3" fillId="2" borderId="0" applyAlignment="1" pivotButton="0" quotePrefix="0" xfId="0">
      <alignment horizontal="left" vertical="center"/>
    </xf>
    <xf numFmtId="0" fontId="4" fillId="2" borderId="0" applyAlignment="1" pivotButton="0" quotePrefix="0" xfId="0">
      <alignment horizontal="left" vertical="center"/>
    </xf>
    <xf numFmtId="0" fontId="5" fillId="0" borderId="0" applyAlignment="1" pivotButton="0" quotePrefix="0" xfId="0">
      <alignment horizontal="left" vertical="center"/>
    </xf>
    <xf numFmtId="0" fontId="6" fillId="0" borderId="0" applyAlignment="1" pivotButton="0" quotePrefix="0" xfId="0">
      <alignment horizontal="left" vertical="center"/>
    </xf>
    <xf numFmtId="0" fontId="7" fillId="0" borderId="0" applyAlignment="1" pivotButton="0" quotePrefix="0" xfId="0">
      <alignment horizontal="left" vertical="top" wrapText="1"/>
    </xf>
    <xf numFmtId="0" fontId="8" fillId="3" borderId="1" applyAlignment="1" pivotButton="0" quotePrefix="0" xfId="0">
      <alignment horizontal="center" vertical="center"/>
    </xf>
    <xf numFmtId="0" fontId="9" fillId="0" borderId="1" applyAlignment="1" pivotButton="0" quotePrefix="0" xfId="0">
      <alignment horizontal="left" vertical="center"/>
    </xf>
    <xf numFmtId="0" fontId="7" fillId="0" borderId="1" applyAlignment="1" pivotButton="0" quotePrefix="0" xfId="0">
      <alignment horizontal="left" vertical="top" wrapText="1"/>
    </xf>
    <xf numFmtId="0" fontId="0" fillId="0" borderId="1" pivotButton="0" quotePrefix="0" xfId="0"/>
    <xf numFmtId="0" fontId="9" fillId="4" borderId="1" applyAlignment="1" pivotButton="0" quotePrefix="0" xfId="0">
      <alignment horizontal="left" vertical="center"/>
    </xf>
    <xf numFmtId="0" fontId="7" fillId="4" borderId="1" applyAlignment="1" pivotButton="0" quotePrefix="0" xfId="0">
      <alignment horizontal="left" vertical="top" wrapText="1"/>
    </xf>
    <xf numFmtId="0" fontId="0" fillId="4" borderId="1" pivotButton="0" quotePrefix="0" xfId="0"/>
    <xf numFmtId="0" fontId="10" fillId="0" borderId="0" pivotButton="0" quotePrefix="0" xfId="0"/>
    <xf numFmtId="0" fontId="11" fillId="0" borderId="0" applyAlignment="1" pivotButton="0" quotePrefix="0" xfId="0">
      <alignment horizontal="left" vertical="top" wrapText="1"/>
    </xf>
    <xf numFmtId="0" fontId="8" fillId="2" borderId="1" applyAlignment="1" pivotButton="0" quotePrefix="0" xfId="0">
      <alignment horizontal="left" vertical="center"/>
    </xf>
    <xf numFmtId="0" fontId="12" fillId="0" borderId="1" applyAlignment="1" pivotButton="0" quotePrefix="0" xfId="0">
      <alignment horizontal="left" vertical="center"/>
    </xf>
    <xf numFmtId="0" fontId="7" fillId="0" borderId="1" applyAlignment="1" pivotButton="0" quotePrefix="0" xfId="0">
      <alignment horizontal="left" vertical="center"/>
    </xf>
    <xf numFmtId="0" fontId="6" fillId="0" borderId="0" pivotButton="0" quotePrefix="0" xfId="0"/>
    <xf numFmtId="164" fontId="9" fillId="5" borderId="1" applyAlignment="1" pivotButton="0" quotePrefix="0" xfId="0">
      <alignment horizontal="center" vertical="center"/>
    </xf>
    <xf numFmtId="0" fontId="6" fillId="0" borderId="1" applyAlignment="1" pivotButton="0" quotePrefix="0" xfId="0">
      <alignment horizontal="center" vertical="center"/>
    </xf>
    <xf numFmtId="10" fontId="9" fillId="5" borderId="1" applyAlignment="1" pivotButton="0" quotePrefix="0" xfId="0">
      <alignment horizontal="center" vertical="center"/>
    </xf>
    <xf numFmtId="2" fontId="9" fillId="5" borderId="1" applyAlignment="1" pivotButton="0" quotePrefix="0" xfId="0">
      <alignment horizontal="center" vertical="center"/>
    </xf>
    <xf numFmtId="3" fontId="9" fillId="5" borderId="1" applyAlignment="1" pivotButton="0" quotePrefix="0" xfId="0">
      <alignment horizontal="center" vertical="center"/>
    </xf>
    <xf numFmtId="165" fontId="9" fillId="5" borderId="1" applyAlignment="1" pivotButton="0" quotePrefix="0" xfId="0">
      <alignment horizontal="center" vertical="center"/>
    </xf>
    <xf numFmtId="1" fontId="9" fillId="5" borderId="1" applyAlignment="1" pivotButton="0" quotePrefix="0" xfId="0">
      <alignment horizontal="center" vertical="center"/>
    </xf>
    <xf numFmtId="0" fontId="0" fillId="0" borderId="1" applyAlignment="1" pivotButton="0" quotePrefix="0" xfId="0">
      <alignment horizontal="center" vertical="center"/>
    </xf>
    <xf numFmtId="0" fontId="9" fillId="5" borderId="1" applyAlignment="1" pivotButton="0" quotePrefix="0" xfId="0">
      <alignment horizontal="center" vertical="center"/>
    </xf>
    <xf numFmtId="0" fontId="0" fillId="0" borderId="1" applyAlignment="1" pivotButton="0" quotePrefix="0" xfId="0">
      <alignment horizontal="left" vertical="center"/>
    </xf>
    <xf numFmtId="2" fontId="0" fillId="0" borderId="1" applyAlignment="1" pivotButton="0" quotePrefix="0" xfId="0">
      <alignment horizontal="center" vertical="center"/>
    </xf>
    <xf numFmtId="0" fontId="0" fillId="4" borderId="1" applyAlignment="1" pivotButton="0" quotePrefix="0" xfId="0">
      <alignment horizontal="center" vertical="center"/>
    </xf>
    <xf numFmtId="0" fontId="9" fillId="4" borderId="1" applyAlignment="1" pivotButton="0" quotePrefix="0" xfId="0">
      <alignment horizontal="center" vertical="center"/>
    </xf>
    <xf numFmtId="0" fontId="0" fillId="4" borderId="1" applyAlignment="1" pivotButton="0" quotePrefix="0" xfId="0">
      <alignment horizontal="left" vertical="center"/>
    </xf>
    <xf numFmtId="2" fontId="0" fillId="4" borderId="1" applyAlignment="1" pivotButton="0" quotePrefix="0" xfId="0">
      <alignment horizontal="center" vertical="center"/>
    </xf>
    <xf numFmtId="0" fontId="13" fillId="6" borderId="3" applyAlignment="1" pivotButton="0" quotePrefix="0" xfId="0">
      <alignment horizontal="center" vertical="center"/>
    </xf>
    <xf numFmtId="0" fontId="0" fillId="0" borderId="3" pivotButton="0" quotePrefix="0" xfId="0"/>
    <xf numFmtId="1" fontId="14" fillId="0" borderId="3" applyAlignment="1" pivotButton="0" quotePrefix="0" xfId="0">
      <alignment horizontal="center" vertical="center"/>
    </xf>
    <xf numFmtId="165" fontId="14" fillId="0" borderId="3" applyAlignment="1" pivotButton="0" quotePrefix="0" xfId="0">
      <alignment horizontal="center" vertical="center"/>
    </xf>
    <xf numFmtId="0" fontId="14" fillId="0" borderId="3" applyAlignment="1" pivotButton="0" quotePrefix="0" xfId="0">
      <alignment horizontal="center" vertical="center"/>
    </xf>
    <xf numFmtId="2" fontId="14" fillId="0" borderId="3" applyAlignment="1" pivotButton="0" quotePrefix="0" xfId="0">
      <alignment horizontal="center" vertical="center"/>
    </xf>
    <xf numFmtId="0" fontId="9" fillId="0" borderId="1" applyAlignment="1" pivotButton="0" quotePrefix="0" xfId="0">
      <alignment horizontal="center" vertical="center"/>
    </xf>
    <xf numFmtId="166" fontId="0" fillId="0" borderId="1" pivotButton="0" quotePrefix="0" xfId="0"/>
    <xf numFmtId="3" fontId="0" fillId="0" borderId="1" pivotButton="0" quotePrefix="0" xfId="0"/>
    <xf numFmtId="165" fontId="0" fillId="0" borderId="1" pivotButton="0" quotePrefix="0" xfId="0"/>
    <xf numFmtId="165" fontId="9" fillId="0" borderId="1" applyAlignment="1" pivotButton="0" quotePrefix="0" xfId="0">
      <alignment horizontal="center" vertical="center"/>
    </xf>
    <xf numFmtId="166" fontId="0" fillId="4" borderId="1" pivotButton="0" quotePrefix="0" xfId="0"/>
    <xf numFmtId="3" fontId="0" fillId="4" borderId="1" pivotButton="0" quotePrefix="0" xfId="0"/>
    <xf numFmtId="165" fontId="0" fillId="4" borderId="1" pivotButton="0" quotePrefix="0" xfId="0"/>
    <xf numFmtId="165" fontId="9" fillId="4" borderId="1" applyAlignment="1" pivotButton="0" quotePrefix="0" xfId="0">
      <alignment horizontal="center" vertical="center"/>
    </xf>
    <xf numFmtId="0" fontId="12" fillId="4" borderId="1" applyAlignment="1" pivotButton="0" quotePrefix="0" xfId="0">
      <alignment horizontal="left" vertical="center"/>
    </xf>
    <xf numFmtId="166" fontId="9" fillId="5" borderId="1" applyAlignment="1" pivotButton="0" quotePrefix="0" xfId="0">
      <alignment horizontal="center" vertical="center"/>
    </xf>
    <xf numFmtId="0" fontId="12" fillId="0" borderId="1" pivotButton="0" quotePrefix="0" xfId="0"/>
    <xf numFmtId="10" fontId="0" fillId="0" borderId="1" pivotButton="0" quotePrefix="0" xfId="0"/>
    <xf numFmtId="167" fontId="0" fillId="0" borderId="1" pivotButton="0" quotePrefix="0" xfId="0"/>
    <xf numFmtId="168" fontId="0" fillId="0" borderId="1" pivotButton="0" quotePrefix="0" xfId="0"/>
    <xf numFmtId="164" fontId="0" fillId="0" borderId="1" pivotButton="0" quotePrefix="0" xfId="0"/>
    <xf numFmtId="166" fontId="9" fillId="4" borderId="1" applyAlignment="1" pivotButton="0" quotePrefix="0" xfId="0">
      <alignment horizontal="center" vertical="center"/>
    </xf>
    <xf numFmtId="0" fontId="12" fillId="4" borderId="1" pivotButton="0" quotePrefix="0" xfId="0"/>
    <xf numFmtId="10" fontId="0" fillId="4" borderId="1" pivotButton="0" quotePrefix="0" xfId="0"/>
    <xf numFmtId="167" fontId="0" fillId="4" borderId="1" pivotButton="0" quotePrefix="0" xfId="0"/>
    <xf numFmtId="168" fontId="0" fillId="4" borderId="1" pivotButton="0" quotePrefix="0" xfId="0"/>
    <xf numFmtId="164" fontId="0" fillId="4" borderId="1" pivotButton="0" quotePrefix="0" xfId="0"/>
    <xf numFmtId="0" fontId="12" fillId="6" borderId="1" applyAlignment="1" pivotButton="0" quotePrefix="0" xfId="0">
      <alignment horizontal="left" vertical="center"/>
    </xf>
    <xf numFmtId="0" fontId="0" fillId="0" borderId="6" pivotButton="0" quotePrefix="0" xfId="0"/>
    <xf numFmtId="0" fontId="0" fillId="0" borderId="7" pivotButton="0" quotePrefix="0" xfId="0"/>
    <xf numFmtId="0" fontId="9" fillId="0" borderId="1" pivotButton="0" quotePrefix="0" xfId="0"/>
    <xf numFmtId="1" fontId="9" fillId="0" borderId="1" applyAlignment="1" pivotButton="0" quotePrefix="0" xfId="0">
      <alignment horizontal="center" vertical="center"/>
    </xf>
    <xf numFmtId="169" fontId="0" fillId="0" borderId="1" applyAlignment="1" pivotButton="0" quotePrefix="0" xfId="0">
      <alignment horizontal="center" vertical="center"/>
    </xf>
    <xf numFmtId="0" fontId="9" fillId="4" borderId="1" pivotButton="0" quotePrefix="0" xfId="0"/>
    <xf numFmtId="2" fontId="9" fillId="4" borderId="1" applyAlignment="1" pivotButton="0" quotePrefix="0" xfId="0">
      <alignment horizontal="center" vertical="center"/>
    </xf>
    <xf numFmtId="1" fontId="9" fillId="4" borderId="1" applyAlignment="1" pivotButton="0" quotePrefix="0" xfId="0">
      <alignment horizontal="center" vertical="center"/>
    </xf>
    <xf numFmtId="169" fontId="0" fillId="4" borderId="1" applyAlignment="1" pivotButton="0" quotePrefix="0" xfId="0">
      <alignment horizontal="center" vertical="center"/>
    </xf>
    <xf numFmtId="164" fontId="14" fillId="0" borderId="3" applyAlignment="1" pivotButton="0" quotePrefix="0" xfId="0">
      <alignment horizontal="center" vertical="center"/>
    </xf>
    <xf numFmtId="10" fontId="14" fillId="0" borderId="3" applyAlignment="1" pivotButton="0" quotePrefix="0" xfId="0">
      <alignment horizontal="center" vertical="center"/>
    </xf>
    <xf numFmtId="10" fontId="0" fillId="0" borderId="1" applyAlignment="1" pivotButton="0" quotePrefix="0" xfId="0">
      <alignment horizontal="center" vertical="center"/>
    </xf>
    <xf numFmtId="167" fontId="0" fillId="0" borderId="1" applyAlignment="1" pivotButton="0" quotePrefix="0" xfId="0">
      <alignment horizontal="center" vertical="center"/>
    </xf>
    <xf numFmtId="3" fontId="0" fillId="0" borderId="1" applyAlignment="1" pivotButton="0" quotePrefix="0" xfId="0">
      <alignment horizontal="center" vertical="center"/>
    </xf>
    <xf numFmtId="10" fontId="0" fillId="4" borderId="1" applyAlignment="1" pivotButton="0" quotePrefix="0" xfId="0">
      <alignment horizontal="center" vertical="center"/>
    </xf>
    <xf numFmtId="167" fontId="0" fillId="4" borderId="1" applyAlignment="1" pivotButton="0" quotePrefix="0" xfId="0">
      <alignment horizontal="center" vertical="center"/>
    </xf>
    <xf numFmtId="3" fontId="0" fillId="4" borderId="1" applyAlignment="1" pivotButton="0" quotePrefix="0" xfId="0">
      <alignment horizontal="center" vertical="center"/>
    </xf>
    <xf numFmtId="0" fontId="11" fillId="0" borderId="0" pivotButton="0" quotePrefix="0" xfId="0"/>
    <xf numFmtId="1" fontId="0" fillId="0" borderId="1" applyAlignment="1" pivotButton="0" quotePrefix="0" xfId="0">
      <alignment horizontal="center" vertical="center"/>
    </xf>
    <xf numFmtId="2" fontId="9" fillId="0" borderId="1" applyAlignment="1" pivotButton="0" quotePrefix="0" xfId="0">
      <alignment horizontal="center" vertical="center"/>
    </xf>
    <xf numFmtId="165" fontId="0" fillId="0" borderId="1" applyAlignment="1" pivotButton="0" quotePrefix="0" xfId="0">
      <alignment horizontal="center" vertical="center"/>
    </xf>
    <xf numFmtId="1" fontId="0" fillId="4" borderId="1" applyAlignment="1" pivotButton="0" quotePrefix="0" xfId="0">
      <alignment horizontal="center" vertical="center"/>
    </xf>
    <xf numFmtId="165" fontId="0" fillId="4" borderId="1" applyAlignment="1" pivotButton="0" quotePrefix="0" xfId="0">
      <alignment horizontal="center" vertical="center"/>
    </xf>
    <xf numFmtId="0" fontId="7" fillId="4" borderId="1" applyAlignment="1" pivotButton="0" quotePrefix="0" xfId="0">
      <alignment horizontal="left" vertical="center"/>
    </xf>
    <xf numFmtId="0" fontId="12" fillId="6" borderId="1" applyAlignment="1" pivotButton="0" quotePrefix="0" xfId="0">
      <alignment horizontal="left" vertical="top" wrapText="1"/>
    </xf>
    <xf numFmtId="0" fontId="0" fillId="0" borderId="4" pivotButton="0" quotePrefix="0" xfId="0"/>
    <xf numFmtId="0" fontId="0" fillId="0" borderId="5" pivotButton="0" quotePrefix="0" xfId="0"/>
    <xf numFmtId="0" fontId="0" fillId="0" borderId="10" pivotButton="0" quotePrefix="0" xfId="0"/>
    <xf numFmtId="0" fontId="0" fillId="0" borderId="11" pivotButton="0" quotePrefix="0" xfId="0"/>
    <xf numFmtId="0" fontId="0" fillId="0" borderId="12" pivotButton="0" quotePrefix="0" xfId="0"/>
  </cellXfs>
  <cellStyles count="1">
    <cellStyle name="Normal" xfId="0" builtinId="0" hidden="0"/>
  </cellStyles>
  <dxfs count="1">
    <dxf>
      <font>
        <b val="1"/>
        <color rgb="00FFFFFF"/>
      </font>
      <fill>
        <patternFill patternType="solid">
          <fgColor rgb="000E7C6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styles" Target="styles.xml" Id="rId11" /><Relationship Type="http://schemas.openxmlformats.org/officeDocument/2006/relationships/theme" Target="theme/theme1.xml" Id="rId12" /></Relationships>
</file>

<file path=xl/charts/chart1.xml><?xml version="1.0" encoding="utf-8"?>
<chartSpace xmlns:a="http://schemas.openxmlformats.org/drawingml/2006/main" xmlns="http://schemas.openxmlformats.org/drawingml/2006/chart">
  <chart>
    <title>
      <tx>
        <rich>
          <a:bodyPr/>
          <a:p>
            <a:pPr>
              <a:defRPr/>
            </a:pPr>
            <a:r>
              <a:t>Composite unusual options activity score</a:t>
            </a:r>
          </a:p>
        </rich>
      </tx>
    </title>
    <plotArea>
      <barChart>
        <barDir val="bar"/>
        <grouping val="clustered"/>
        <ser>
          <idx val="0"/>
          <order val="0"/>
          <tx>
            <strRef>
              <f>'Flow Scanner'!N8</f>
            </strRef>
          </tx>
          <spPr>
            <a:ln>
              <a:prstDash val="solid"/>
            </a:ln>
          </spPr>
          <cat>
            <numRef>
              <f>'Flow Scanner'!$B$9:$B$20</f>
            </numRef>
          </cat>
          <val>
            <numRef>
              <f>'Flow Scanner'!$N$9:$N$20</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a:p>
                <a:pPr>
                  <a:defRPr/>
                </a:pPr>
                <a:r>
                  <a:t>Score (0-100)</a:t>
                </a:r>
              </a:p>
            </rich>
          </tx>
        </title>
        <majorTickMark val="none"/>
        <minorTickMark val="none"/>
        <crossAx val="10"/>
      </valAx>
    </plotArea>
    <legend>
      <legendPos val="r"/>
    </legend>
    <plotVisOnly val="1"/>
    <dispBlanksAs val="gap"/>
  </chart>
</chartSpace>
</file>

<file path=xl/comments/comment1.xml><?xml version="1.0" encoding="utf-8"?>
<comments xmlns="http://schemas.openxmlformats.org/spreadsheetml/2006/main">
  <authors>
    <author>MarketXLS</author>
  </authors>
  <commentList>
    <comment ref="B5" authorId="0" shapeId="0">
      <text>
        <t>Total capital the position sizing sheet works from.</t>
      </text>
    </comment>
    <comment ref="B7" authorId="0" shapeId="0">
      <text>
        <t>3.0 means today's options volume must be at least three times this name's own 20-day average.</t>
      </text>
    </comment>
    <comment ref="B8" authorId="0" shapeId="0">
      <text>
        <t>Whole-chain volume divided by whole-chain open interest. Realistic readings sit between 0.05 and 0.25, because total open interest dwarfs any one session's volume.</t>
      </text>
    </comment>
    <comment ref="B9" authorId="0" shapeId="0">
      <text>
        <t>Single-contract test. 0.60 means today's volume in that one strike was at least 60 percent of the open interest standing in it before the session.</t>
      </text>
    </comment>
  </commentList>
</comments>
</file>

<file path=xl/drawings/_rels/drawing1.xml.rels><Relationships xmlns="http://schemas.openxmlformats.org/package/2006/relationships"><Relationship Type="http://schemas.openxmlformats.org/officeDocument/2006/relationships/chart" Target="/xl/charts/chart1.xml" Id="rId1" /></Relationships>
</file>

<file path=xl/drawings/drawing1.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0</col>
      <colOff>0</colOff>
      <row>22</row>
      <rowOff>0</rowOff>
    </from>
    <ext cx="6480000" cy="3240000"/>
    <graphicFrame>
      <nvGraphicFramePr>
        <cNvPr id="1" name="Chart 1"/>
        <cNvGraphicFramePr/>
      </nvGraphicFramePr>
      <xfrm/>
      <a:graphic>
        <a:graphicData uri="http://schemas.openxmlformats.org/drawingml/2006/chart">
          <c:chart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4.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tabColor rgb="00003366"/>
    <outlinePr summaryBelow="1" summaryRight="1"/>
    <pageSetUpPr/>
  </sheetPr>
  <dimension ref="A1:G29"/>
  <sheetViews>
    <sheetView showGridLines="0" workbookViewId="0">
      <selection activeCell="A1" sqref="A1"/>
    </sheetView>
  </sheetViews>
  <sheetFormatPr baseColWidth="8" defaultRowHeight="15"/>
  <cols>
    <col width="3" customWidth="1" min="1" max="1"/>
    <col width="26" customWidth="1" min="2" max="2"/>
    <col width="26" customWidth="1" min="3" max="3"/>
    <col width="26" customWidth="1" min="4" max="4"/>
    <col width="26" customWidth="1" min="5" max="5"/>
    <col width="20" customWidth="1" min="6" max="6"/>
  </cols>
  <sheetData>
    <row r="1">
      <c r="A1" s="1" t="n"/>
      <c r="B1" s="1" t="n"/>
      <c r="C1" s="1" t="n"/>
      <c r="D1" s="1" t="n"/>
      <c r="E1" s="1" t="n"/>
      <c r="F1" s="1" t="n"/>
      <c r="G1" s="1" t="n"/>
    </row>
    <row r="2">
      <c r="A2" s="1" t="n"/>
      <c r="B2" s="1" t="n"/>
      <c r="C2" s="1" t="n"/>
      <c r="D2" s="1" t="n"/>
      <c r="E2" s="1" t="n"/>
      <c r="F2" s="1" t="n"/>
      <c r="G2" s="1" t="n"/>
    </row>
    <row r="3">
      <c r="A3" s="1" t="n"/>
      <c r="B3" s="1" t="n"/>
      <c r="C3" s="1" t="n"/>
      <c r="D3" s="1" t="n"/>
      <c r="E3" s="1" t="n"/>
      <c r="F3" s="1" t="n"/>
      <c r="G3" s="1" t="n"/>
    </row>
    <row r="4">
      <c r="A4" s="1" t="n"/>
      <c r="B4" s="2" t="inlineStr">
        <is>
          <t>UNUSUAL OPTIONS ACTIVITY</t>
        </is>
      </c>
      <c r="G4" s="1" t="n"/>
    </row>
    <row r="5">
      <c r="A5" s="1" t="n"/>
      <c r="G5" s="1" t="n"/>
    </row>
    <row r="6">
      <c r="A6" s="1" t="n"/>
      <c r="B6" s="3" t="inlineStr">
        <is>
          <t>Excel Scanner: relative volume, volume vs open interest, and a ranked flow score</t>
        </is>
      </c>
      <c r="G6" s="1" t="n"/>
    </row>
    <row r="7">
      <c r="A7" s="1" t="n"/>
      <c r="B7" s="1" t="n"/>
      <c r="C7" s="1" t="n"/>
      <c r="D7" s="1" t="n"/>
      <c r="E7" s="1" t="n"/>
      <c r="F7" s="1" t="n"/>
      <c r="G7" s="1" t="n"/>
    </row>
    <row r="8">
      <c r="A8" s="1" t="n"/>
      <c r="B8" s="4" t="inlineStr"/>
      <c r="G8" s="1" t="n"/>
    </row>
    <row r="9">
      <c r="A9" s="1" t="n"/>
      <c r="B9" s="5" t="inlineStr">
        <is>
          <t>What this workbook does</t>
        </is>
      </c>
      <c r="G9" s="1" t="n"/>
    </row>
    <row r="10">
      <c r="A10" s="1" t="n"/>
      <c r="B10" s="4" t="inlineStr">
        <is>
          <t xml:space="preserve">  Ranks a watchlist by how far today's options volume sits above its own 20-day baseline,</t>
        </is>
      </c>
      <c r="G10" s="1" t="n"/>
    </row>
    <row r="11">
      <c r="A11" s="1" t="n"/>
      <c r="B11" s="4" t="inlineStr">
        <is>
          <t xml:space="preserve">  then separates opening risk from closing risk using volume divided by open interest.</t>
        </is>
      </c>
      <c r="G11" s="1" t="n"/>
    </row>
    <row r="12">
      <c r="A12" s="1" t="n"/>
      <c r="B12" s="4" t="inlineStr"/>
      <c r="G12" s="1" t="n"/>
    </row>
    <row r="13">
      <c r="A13" s="1" t="n"/>
      <c r="B13" s="5" t="inlineStr">
        <is>
          <t>Edition: STATIC SAMPLE</t>
        </is>
      </c>
      <c r="G13" s="1" t="n"/>
    </row>
    <row r="14">
      <c r="A14" s="1" t="n"/>
      <c r="B14" s="4" t="inlineStr">
        <is>
          <t>Data as of: 2026-08-15</t>
        </is>
      </c>
      <c r="G14" s="1" t="n"/>
    </row>
    <row r="15">
      <c r="A15" s="1" t="n"/>
      <c r="B15" s="4" t="inlineStr">
        <is>
          <t>Reference expiration: 2026-09-18  (34 days from 2026-08-15)</t>
        </is>
      </c>
      <c r="G15" s="1" t="n"/>
    </row>
    <row r="16">
      <c r="A16" s="1" t="n"/>
      <c r="B16" s="4" t="inlineStr"/>
      <c r="G16" s="1" t="n"/>
    </row>
    <row r="17">
      <c r="A17" s="1" t="n"/>
      <c r="B17" s="5" t="inlineStr">
        <is>
          <t>Sheets: How To Use, Inputs, Flow Scanner, Contract Detail, Market Scans,</t>
        </is>
      </c>
      <c r="G17" s="1" t="n"/>
    </row>
    <row r="18">
      <c r="A18" s="1" t="n"/>
      <c r="B18" s="4" t="inlineStr">
        <is>
          <t xml:space="preserve">        Threshold Scenarios, Position Sizing, Sector Comparison, Scoring Method</t>
        </is>
      </c>
      <c r="G18" s="1" t="n"/>
    </row>
    <row r="19">
      <c r="A19" s="1" t="n"/>
      <c r="B19" s="4" t="inlineStr"/>
      <c r="G19" s="1" t="n"/>
    </row>
    <row r="20">
      <c r="A20" s="1" t="n"/>
      <c r="B20" s="4" t="inlineStr">
        <is>
          <t>Educational analysis only. Nothing in this workbook is a recommendation to buy or sell.</t>
        </is>
      </c>
      <c r="G20" s="1" t="n"/>
    </row>
    <row r="21">
      <c r="A21" s="1" t="n"/>
      <c r="B21" s="4" t="inlineStr"/>
      <c r="G21" s="1" t="n"/>
    </row>
    <row r="22">
      <c r="A22" s="1" t="n"/>
      <c r="B22" s="4" t="inlineStr">
        <is>
          <t>MarketXLS: https://marketxls.com</t>
        </is>
      </c>
      <c r="G22" s="1" t="n"/>
    </row>
    <row r="23">
      <c r="A23" s="1" t="n"/>
      <c r="B23" s="4" t="inlineStr">
        <is>
          <t>Book a demo: https://marketxls.com/book-demo</t>
        </is>
      </c>
      <c r="G23" s="1" t="n"/>
    </row>
    <row r="24">
      <c r="A24" s="1" t="n"/>
      <c r="B24" s="1" t="n"/>
      <c r="C24" s="1" t="n"/>
      <c r="D24" s="1" t="n"/>
      <c r="E24" s="1" t="n"/>
      <c r="F24" s="1" t="n"/>
      <c r="G24" s="1" t="n"/>
    </row>
    <row r="25">
      <c r="A25" s="1" t="n"/>
      <c r="B25" s="1" t="n"/>
      <c r="C25" s="1" t="n"/>
      <c r="D25" s="1" t="n"/>
      <c r="E25" s="1" t="n"/>
      <c r="F25" s="1" t="n"/>
      <c r="G25" s="1" t="n"/>
    </row>
    <row r="26">
      <c r="A26" s="1" t="n"/>
      <c r="B26" s="1" t="n"/>
      <c r="C26" s="1" t="n"/>
      <c r="D26" s="1" t="n"/>
      <c r="E26" s="1" t="n"/>
      <c r="F26" s="1" t="n"/>
      <c r="G26" s="1" t="n"/>
    </row>
    <row r="27">
      <c r="A27" s="1" t="n"/>
      <c r="B27" s="1" t="n"/>
      <c r="C27" s="1" t="n"/>
      <c r="D27" s="1" t="n"/>
      <c r="E27" s="1" t="n"/>
      <c r="F27" s="1" t="n"/>
      <c r="G27" s="1" t="n"/>
    </row>
    <row r="28">
      <c r="A28" s="1" t="n"/>
      <c r="B28" s="1" t="n"/>
      <c r="C28" s="1" t="n"/>
      <c r="D28" s="1" t="n"/>
      <c r="E28" s="1" t="n"/>
      <c r="F28" s="1" t="n"/>
      <c r="G28" s="1" t="n"/>
    </row>
    <row r="29">
      <c r="A29" s="1" t="n"/>
      <c r="B29" s="1" t="n"/>
      <c r="C29" s="1" t="n"/>
      <c r="D29" s="1" t="n"/>
      <c r="E29" s="1" t="n"/>
      <c r="F29" s="1" t="n"/>
      <c r="G29" s="1" t="n"/>
    </row>
  </sheetData>
  <mergeCells count="18">
    <mergeCell ref="B21:F21"/>
    <mergeCell ref="B12:F12"/>
    <mergeCell ref="B6:F6"/>
    <mergeCell ref="B16:F16"/>
    <mergeCell ref="B20:F20"/>
    <mergeCell ref="B4:F5"/>
    <mergeCell ref="B10:F10"/>
    <mergeCell ref="B11:F11"/>
    <mergeCell ref="B15:F15"/>
    <mergeCell ref="B18:F18"/>
    <mergeCell ref="B19:F19"/>
    <mergeCell ref="B14:F14"/>
    <mergeCell ref="B23:F23"/>
    <mergeCell ref="B22:F22"/>
    <mergeCell ref="B8:F8"/>
    <mergeCell ref="B17:F17"/>
    <mergeCell ref="B9:F9"/>
    <mergeCell ref="B13:F13"/>
  </mergeCells>
  <pageMargins left="0.75" right="0.75" top="1" bottom="1" header="0.5" footer="0.5"/>
</worksheet>
</file>

<file path=xl/worksheets/sheet10.xml><?xml version="1.0" encoding="utf-8"?>
<worksheet xmlns="http://schemas.openxmlformats.org/spreadsheetml/2006/main">
  <sheetPr>
    <tabColor rgb="006B7280"/>
    <outlinePr summaryBelow="1" summaryRight="1"/>
    <pageSetUpPr/>
  </sheetPr>
  <dimension ref="A1:D34"/>
  <sheetViews>
    <sheetView showGridLines="0" workbookViewId="0">
      <pane ySplit="4" topLeftCell="A5" activePane="bottomLeft" state="frozen"/>
      <selection pane="bottomLeft" activeCell="A1" sqref="A1"/>
    </sheetView>
  </sheetViews>
  <sheetFormatPr baseColWidth="8" defaultRowHeight="15"/>
  <cols>
    <col width="30" customWidth="1" min="1" max="1"/>
    <col width="14" customWidth="1" min="2" max="2"/>
    <col width="20" customWidth="1" min="3" max="3"/>
    <col width="60" customWidth="1" min="4" max="4"/>
  </cols>
  <sheetData>
    <row r="1" ht="30" customHeight="1">
      <c r="A1" s="6" t="inlineStr">
        <is>
          <t>Scoring Method</t>
        </is>
      </c>
    </row>
    <row r="2">
      <c r="A2" s="7" t="inlineStr">
        <is>
          <t>Every weight below is arbitrary in the sense that it is a choice. It is written down so you can change it.</t>
        </is>
      </c>
    </row>
    <row r="4" ht="30" customHeight="1">
      <c r="A4" s="9" t="inlineStr">
        <is>
          <t>Component</t>
        </is>
      </c>
      <c r="B4" s="9" t="inlineStr">
        <is>
          <t>Weight</t>
        </is>
      </c>
      <c r="C4" s="9" t="inlineStr">
        <is>
          <t>Caps at</t>
        </is>
      </c>
      <c r="D4" s="9" t="inlineStr">
        <is>
          <t>Why it is weighted this way</t>
        </is>
      </c>
    </row>
    <row r="5" ht="56" customHeight="1">
      <c r="A5" s="68" t="inlineStr">
        <is>
          <t>Relative volume</t>
        </is>
      </c>
      <c r="B5" s="28" t="n">
        <v>40</v>
      </c>
      <c r="C5" s="29" t="inlineStr">
        <is>
          <t>5.0x</t>
        </is>
      </c>
      <c r="D5" s="11" t="inlineStr">
        <is>
          <t>The single most informative input. Volume measured against a name's own baseline survives across market caps, while raw volume simply ranks the largest chains in the market every day.</t>
        </is>
      </c>
    </row>
    <row r="6" ht="56" customHeight="1">
      <c r="A6" s="68" t="inlineStr">
        <is>
          <t>Volume / open interest</t>
        </is>
      </c>
      <c r="B6" s="28" t="n">
        <v>30</v>
      </c>
      <c r="C6" s="29" t="inlineStr">
        <is>
          <t>0.25 at chain level</t>
        </is>
      </c>
      <c r="D6" s="11" t="inlineStr">
        <is>
          <t>Separates opening risk from closing risk. A large print against a large existing position tells you far less than the same print against almost none. The cap is 0.25 here because whole-chain open interest is always far larger than one session's volume. At the single-contract level the same ratio routinely runs above 1.0.</t>
        </is>
      </c>
    </row>
    <row r="7" ht="56" customHeight="1">
      <c r="A7" s="68" t="inlineStr">
        <is>
          <t>IV rank</t>
        </is>
      </c>
      <c r="B7" s="28" t="n">
        <v>15</v>
      </c>
      <c r="C7" s="29" t="inlineStr">
        <is>
          <t>100</t>
        </is>
      </c>
      <c r="D7" s="11" t="inlineStr">
        <is>
          <t>Context for what the volume is paying. Unusual volume with implied volatility already at the top of its one-year range means the flow is paying up, which is a different situation entirely.</t>
        </is>
      </c>
    </row>
    <row r="8" ht="56" customHeight="1">
      <c r="A8" s="68" t="inlineStr">
        <is>
          <t>Side lean</t>
        </is>
      </c>
      <c r="B8" s="28" t="n">
        <v>15</v>
      </c>
      <c r="C8" s="29" t="inlineStr">
        <is>
          <t>1.1 log units</t>
        </is>
      </c>
      <c r="D8" s="11" t="inlineStr">
        <is>
          <t>How one-sided the call and put split is. A balanced split usually means a spread or a hedge, not a directional view.</t>
        </is>
      </c>
    </row>
    <row r="9">
      <c r="A9" s="68" t="inlineStr">
        <is>
          <t>Total</t>
        </is>
      </c>
      <c r="B9" s="69">
        <f>SUM(B5:B8)</f>
        <v/>
      </c>
      <c r="C9" s="12" t="n"/>
      <c r="D9" s="12" t="n"/>
    </row>
    <row r="11">
      <c r="A11" s="16" t="inlineStr">
        <is>
          <t>The formula, exactly as it appears in column N of Flow Scanner</t>
        </is>
      </c>
    </row>
    <row r="12" ht="24" customHeight="1">
      <c r="A12" s="90">
        <f>ROUND( MIN(RelVol/5,1)*40 + MIN(VolOI/0.25,1)*30 + MIN(MAX(IVRank,0)/100,1)*15 + MIN(ABS(LN(MAX(PutCall,0.05)))/1.1,1)*15 , 1)</f>
        <v/>
      </c>
      <c r="B12" s="91" t="n"/>
      <c r="C12" s="91" t="n"/>
      <c r="D12" s="92" t="n"/>
    </row>
    <row r="13">
      <c r="A13" s="93" t="n"/>
      <c r="B13" s="94" t="n"/>
      <c r="C13" s="94" t="n"/>
      <c r="D13" s="95" t="n"/>
    </row>
    <row r="15">
      <c r="A15" s="16" t="inlineStr">
        <is>
          <t>What this score cannot tell you</t>
        </is>
      </c>
    </row>
    <row r="16" ht="20" customHeight="1">
      <c r="A16" s="8" t="inlineStr">
        <is>
          <t>•  Whether the volume was bought or sold. No public consolidated feed carries that flag.</t>
        </is>
      </c>
    </row>
    <row r="17" ht="20" customHeight="1">
      <c r="A17" s="8" t="inlineStr">
        <is>
          <t>•  Whether the trade was opening or closing. Volume against open interest is an inference.</t>
        </is>
      </c>
    </row>
    <row r="18" ht="20" customHeight="1">
      <c r="A18" s="8" t="inlineStr">
        <is>
          <t>•  Whether the print was one order or four hundred separate small orders.</t>
        </is>
      </c>
    </row>
    <row r="19" ht="20" customHeight="1">
      <c r="A19" s="8" t="inlineStr">
        <is>
          <t>•  Whether the contract is one leg of a spread, a roll, or a hedge against stock held elsewhere.</t>
        </is>
      </c>
    </row>
    <row r="20" ht="20" customHeight="1">
      <c r="A20" s="8" t="inlineStr">
        <is>
          <t>•  Whether the trader has any information at all. Most large options prints are hedges.</t>
        </is>
      </c>
    </row>
    <row r="21" ht="20" customHeight="1">
      <c r="A21" s="8" t="inlineStr">
        <is>
          <t>•  Anything at all about future price. A high score means look, not buy.</t>
        </is>
      </c>
    </row>
    <row r="23">
      <c r="A23" s="17" t="inlineStr">
        <is>
          <t>This workbook is an educational analysis tool. It contains no recommendation to buy or sell any security, and no strategy shown here is represented as profitable.</t>
        </is>
      </c>
    </row>
    <row r="24"/>
    <row r="26">
      <c r="A26" s="18" t="inlineStr">
        <is>
          <t>MarketXLS Functions Used in This Sheet</t>
        </is>
      </c>
      <c r="B26" s="12" t="n"/>
      <c r="C26" s="12" t="n"/>
      <c r="D26" s="12" t="n"/>
    </row>
    <row r="27">
      <c r="A27" s="19">
        <f>opt_TotalVolumeOptions("NVDA")</f>
        <v/>
      </c>
      <c r="B27" s="12" t="n"/>
      <c r="C27" s="20" t="inlineStr">
        <is>
          <t>Numerator of the relative volume component</t>
        </is>
      </c>
      <c r="D27" s="12" t="n"/>
    </row>
    <row r="28">
      <c r="A28" s="19">
        <f>opt_VolumeOptionsAverage("NVDA",20)</f>
        <v/>
      </c>
      <c r="B28" s="12" t="n"/>
      <c r="C28" s="20" t="inlineStr">
        <is>
          <t>Denominator of the relative volume component</t>
        </is>
      </c>
      <c r="D28" s="12" t="n"/>
    </row>
    <row r="29">
      <c r="A29" s="19">
        <f>opt_TotalOpenInterestOptions("NVDA")</f>
        <v/>
      </c>
      <c r="B29" s="12" t="n"/>
      <c r="C29" s="20" t="inlineStr">
        <is>
          <t>Denominator of the volume against open interest component</t>
        </is>
      </c>
      <c r="D29" s="12" t="n"/>
    </row>
    <row r="30">
      <c r="A30" s="19">
        <f>opt_PutCallVolRatio("NVDA")</f>
        <v/>
      </c>
      <c r="B30" s="12" t="n"/>
      <c r="C30" s="20" t="inlineStr">
        <is>
          <t>Input to the side-lean component</t>
        </is>
      </c>
      <c r="D30" s="12" t="n"/>
    </row>
    <row r="31">
      <c r="A31" s="19">
        <f>ImpliedVolatilityRank1y("NVDA")</f>
        <v/>
      </c>
      <c r="B31" s="12" t="n"/>
      <c r="C31" s="20" t="inlineStr">
        <is>
          <t>Input to the implied volatility component</t>
        </is>
      </c>
      <c r="D31" s="12" t="n"/>
    </row>
    <row r="32">
      <c r="A32" s="19">
        <f>ImpliedVolatility30d("NVDA")</f>
        <v/>
      </c>
      <c r="B32" s="12" t="n"/>
      <c r="C32" s="20" t="inlineStr">
        <is>
          <t>Absolute 30-day implied volatility, for context</t>
        </is>
      </c>
      <c r="D32" s="12" t="n"/>
    </row>
    <row r="34">
      <c r="A34" s="21" t="inlineStr">
        <is>
          <t>MarketXLS: https://marketxls.com    |    Book a demo: https://marketxls.com/book-demo</t>
        </is>
      </c>
    </row>
  </sheetData>
  <mergeCells count="24">
    <mergeCell ref="A17:D17"/>
    <mergeCell ref="A30:B30"/>
    <mergeCell ref="C30:D30"/>
    <mergeCell ref="A20:D20"/>
    <mergeCell ref="A19:D19"/>
    <mergeCell ref="C29:D29"/>
    <mergeCell ref="A34:D34"/>
    <mergeCell ref="A12:D13"/>
    <mergeCell ref="A27:B27"/>
    <mergeCell ref="C31:D31"/>
    <mergeCell ref="A1:D1"/>
    <mergeCell ref="C27:D27"/>
    <mergeCell ref="A32:B32"/>
    <mergeCell ref="A16:D16"/>
    <mergeCell ref="A23:D24"/>
    <mergeCell ref="A18:D18"/>
    <mergeCell ref="C32:D32"/>
    <mergeCell ref="A29:B29"/>
    <mergeCell ref="A26:D26"/>
    <mergeCell ref="A21:D21"/>
    <mergeCell ref="A28:B28"/>
    <mergeCell ref="C28:D28"/>
    <mergeCell ref="A2:D2"/>
    <mergeCell ref="A31:B31"/>
  </mergeCells>
  <pageMargins left="0.75" right="0.75" top="1" bottom="1" header="0.5" footer="0.5"/>
</worksheet>
</file>

<file path=xl/worksheets/sheet2.xml><?xml version="1.0" encoding="utf-8"?>
<worksheet xmlns="http://schemas.openxmlformats.org/spreadsheetml/2006/main">
  <sheetPr>
    <tabColor rgb="000066CC"/>
    <outlinePr summaryBelow="1" summaryRight="1"/>
    <pageSetUpPr/>
  </sheetPr>
  <dimension ref="A1:J34"/>
  <sheetViews>
    <sheetView showGridLines="0" workbookViewId="0">
      <pane ySplit="3" topLeftCell="A4" activePane="bottomLeft" state="frozen"/>
      <selection pane="bottomLeft" activeCell="A1" sqref="A1"/>
    </sheetView>
  </sheetViews>
  <sheetFormatPr baseColWidth="8" defaultRowHeight="15"/>
  <cols>
    <col width="24" customWidth="1" min="1" max="1"/>
    <col width="22" customWidth="1" min="2" max="2"/>
    <col width="22" customWidth="1" min="3" max="3"/>
    <col width="22" customWidth="1" min="4" max="4"/>
    <col width="22" customWidth="1" min="5" max="5"/>
    <col width="22" customWidth="1" min="6" max="6"/>
  </cols>
  <sheetData>
    <row r="1" ht="30" customHeight="1">
      <c r="A1" s="6" t="inlineStr">
        <is>
          <t>How To Use This Workbook</t>
        </is>
      </c>
    </row>
    <row r="2">
      <c r="A2" s="7" t="inlineStr">
        <is>
          <t>Read this sheet once. Every other sheet keys off the yellow cells on Inputs.</t>
        </is>
      </c>
    </row>
    <row r="4" ht="30" customHeight="1">
      <c r="A4" s="8" t="inlineStr">
        <is>
          <t>This is the static sample edition. Every number is a snapshot taken on 2026-08-15. Column headed 'MarketXLS Formula' on each sheet shows the exact function that produces the live version of that number.</t>
        </is>
      </c>
    </row>
    <row r="5"/>
    <row r="7" ht="30" customHeight="1">
      <c r="A7" s="9" t="inlineStr">
        <is>
          <t>Sheet</t>
        </is>
      </c>
      <c r="B7" s="9" t="inlineStr">
        <is>
          <t>What it does</t>
        </is>
      </c>
      <c r="C7" s="9" t="inlineStr"/>
      <c r="D7" s="9" t="inlineStr"/>
      <c r="E7" s="9" t="inlineStr"/>
      <c r="F7" s="9" t="inlineStr"/>
    </row>
    <row r="8" ht="40" customHeight="1">
      <c r="A8" s="10" t="inlineStr">
        <is>
          <t>Inputs</t>
        </is>
      </c>
      <c r="B8" s="11" t="inlineStr">
        <is>
          <t>Set the watchlist tickers, the relative-volume threshold, the volume/OI threshold, account size and risk per idea. Yellow cells are the only cells you edit.</t>
        </is>
      </c>
      <c r="C8" s="12" t="n"/>
      <c r="D8" s="12" t="n"/>
      <c r="E8" s="12" t="n"/>
      <c r="F8" s="12" t="n"/>
    </row>
    <row r="9" ht="40" customHeight="1">
      <c r="A9" s="13" t="inlineStr">
        <is>
          <t>Flow Scanner</t>
        </is>
      </c>
      <c r="B9" s="14" t="inlineStr">
        <is>
          <t>The main dashboard. One row per underlying: total options volume, its own 20-day average, relative volume, open interest, volume/OI, put-call volume ratio, IV rank and a 0-100 composite score.</t>
        </is>
      </c>
      <c r="C9" s="15" t="n"/>
      <c r="D9" s="15" t="n"/>
      <c r="E9" s="15" t="n"/>
      <c r="F9" s="15" t="n"/>
    </row>
    <row r="10" ht="40" customHeight="1">
      <c r="A10" s="10" t="inlineStr">
        <is>
          <t>Contract Detail</t>
        </is>
      </c>
      <c r="B10" s="11" t="inlineStr">
        <is>
          <t>Drops from the underlying to the individual contract. Volume, open interest, volume/OI, implied volatility and Greeks per strike.</t>
        </is>
      </c>
      <c r="C10" s="12" t="n"/>
      <c r="D10" s="12" t="n"/>
      <c r="E10" s="12" t="n"/>
      <c r="F10" s="12" t="n"/>
    </row>
    <row r="11" ht="40" customHeight="1">
      <c r="A11" s="13" t="inlineStr">
        <is>
          <t>Market Scans</t>
        </is>
      </c>
      <c r="B11" s="14" t="inlineStr">
        <is>
          <t>Market-wide unusual activity scans and volume and open-interest leaders, for the days when nothing on your own watchlist is moving.</t>
        </is>
      </c>
      <c r="C11" s="15" t="n"/>
      <c r="D11" s="15" t="n"/>
      <c r="E11" s="15" t="n"/>
      <c r="F11" s="15" t="n"/>
    </row>
    <row r="12" ht="40" customHeight="1">
      <c r="A12" s="10" t="inlineStr">
        <is>
          <t>Threshold Scenarios</t>
        </is>
      </c>
      <c r="B12" s="11" t="inlineStr">
        <is>
          <t>Shows how many names survive at seven different threshold pairs. A scanner that flags forty names a day flags nothing.</t>
        </is>
      </c>
      <c r="C12" s="12" t="n"/>
      <c r="D12" s="12" t="n"/>
      <c r="E12" s="12" t="n"/>
      <c r="F12" s="12" t="n"/>
    </row>
    <row r="13" ht="40" customHeight="1">
      <c r="A13" s="13" t="inlineStr">
        <is>
          <t>Position Sizing</t>
        </is>
      </c>
      <c r="B13" s="14" t="inlineStr">
        <is>
          <t>Converts a flagged idea into a position size from account size and risk per idea. Contract count, premium at risk and portfolio weight.</t>
        </is>
      </c>
      <c r="C13" s="15" t="n"/>
      <c r="D13" s="15" t="n"/>
      <c r="E13" s="15" t="n"/>
      <c r="F13" s="15" t="n"/>
    </row>
    <row r="14" ht="40" customHeight="1">
      <c r="A14" s="10" t="inlineStr">
        <is>
          <t>Sector Comparison</t>
        </is>
      </c>
      <c r="B14" s="11" t="inlineStr">
        <is>
          <t>Groups the watchlist by sector so a single-sector volume event is not mistaken for twelve independent signals.</t>
        </is>
      </c>
      <c r="C14" s="12" t="n"/>
      <c r="D14" s="12" t="n"/>
      <c r="E14" s="12" t="n"/>
      <c r="F14" s="12" t="n"/>
    </row>
    <row r="15" ht="40" customHeight="1">
      <c r="A15" s="13" t="inlineStr">
        <is>
          <t>Scoring Method</t>
        </is>
      </c>
      <c r="B15" s="14" t="inlineStr">
        <is>
          <t>The exact weights behind the composite score, and the reasoning for each.</t>
        </is>
      </c>
      <c r="C15" s="15" t="n"/>
      <c r="D15" s="15" t="n"/>
      <c r="E15" s="15" t="n"/>
      <c r="F15" s="15" t="n"/>
    </row>
    <row r="17">
      <c r="A17" s="16" t="inlineStr">
        <is>
          <t>How to read the two ratios</t>
        </is>
      </c>
    </row>
    <row r="18" ht="46" customHeight="1">
      <c r="A18" s="10" t="inlineStr">
        <is>
          <t>Relative volume</t>
        </is>
      </c>
      <c r="B18" s="11" t="inlineStr">
        <is>
          <t>Today's total options volume divided by the same underlying's own 20-day average options volume. It answers whether this is busy FOR THIS NAME. A raw volume leaderboard answers a different and much less useful question.</t>
        </is>
      </c>
      <c r="C18" s="12" t="n"/>
      <c r="D18" s="12" t="n"/>
      <c r="E18" s="12" t="n"/>
      <c r="F18" s="12" t="n"/>
    </row>
    <row r="19" ht="46" customHeight="1">
      <c r="A19" s="10" t="inlineStr">
        <is>
          <t>Volume / open interest</t>
        </is>
      </c>
      <c r="B19" s="11" t="inlineStr">
        <is>
          <t>Today's contract volume divided by the open interest that existed before the session. Above 1.0 means more contracts traded today than were outstanding, so the flow is more likely opening new risk than closing old risk.</t>
        </is>
      </c>
      <c r="C19" s="12" t="n"/>
      <c r="D19" s="12" t="n"/>
      <c r="E19" s="12" t="n"/>
      <c r="F19" s="12" t="n"/>
    </row>
    <row r="20" ht="46" customHeight="1">
      <c r="A20" s="10" t="inlineStr">
        <is>
          <t>Put-call volume ratio</t>
        </is>
      </c>
      <c r="B20" s="11" t="inlineStr">
        <is>
          <t>The split between put and call volume. It says which side is busy. It does not say whether the volume was bought or sold, and no public consolidated feed does.</t>
        </is>
      </c>
      <c r="C20" s="12" t="n"/>
      <c r="D20" s="12" t="n"/>
      <c r="E20" s="12" t="n"/>
      <c r="F20" s="12" t="n"/>
    </row>
    <row r="21" ht="46" customHeight="1">
      <c r="A21" s="10" t="inlineStr">
        <is>
          <t>IV rank</t>
        </is>
      </c>
      <c r="B21" s="11" t="inlineStr">
        <is>
          <t>Where implied volatility sits inside its own one-year range. Unusual volume that arrives with IV already at the top of its range is a different situation from unusual volume with IV near the bottom.</t>
        </is>
      </c>
      <c r="C21" s="12" t="n"/>
      <c r="D21" s="12" t="n"/>
      <c r="E21" s="12" t="n"/>
      <c r="F21" s="12" t="n"/>
    </row>
    <row r="24" ht="30" customHeight="1">
      <c r="A24" s="17" t="inlineStr">
        <is>
          <t>No public options feed labels a trade as bought or sold, opening or closing. Volume against open interest is an inference, not a fact. Treat every flag as a question to research, never as a signal to act on.</t>
        </is>
      </c>
    </row>
    <row r="25"/>
    <row r="27">
      <c r="A27" s="18" t="inlineStr">
        <is>
          <t>MarketXLS Functions Used in This Sheet</t>
        </is>
      </c>
      <c r="B27" s="12" t="n"/>
      <c r="C27" s="12" t="n"/>
      <c r="D27" s="12" t="n"/>
      <c r="E27" s="12" t="n"/>
      <c r="F27" s="12" t="n"/>
    </row>
    <row r="28">
      <c r="A28" s="19">
        <f>opt_TotalVolumeOptions("NVDA")</f>
        <v/>
      </c>
      <c r="B28" s="12" t="n"/>
      <c r="C28" s="20" t="inlineStr">
        <is>
          <t>Total options volume across the whole chain today</t>
        </is>
      </c>
      <c r="D28" s="12" t="n"/>
      <c r="E28" s="12" t="n"/>
      <c r="F28" s="12" t="n"/>
    </row>
    <row r="29">
      <c r="A29" s="19">
        <f>opt_VolumeOptionsAverage("NVDA",20)</f>
        <v/>
      </c>
      <c r="B29" s="12" t="n"/>
      <c r="C29" s="20" t="inlineStr">
        <is>
          <t>20-day average options volume for the same name</t>
        </is>
      </c>
      <c r="D29" s="12" t="n"/>
      <c r="E29" s="12" t="n"/>
      <c r="F29" s="12" t="n"/>
    </row>
    <row r="30">
      <c r="A30" s="19">
        <f>opt_TotalOpenInterestOptions("NVDA")</f>
        <v/>
      </c>
      <c r="B30" s="12" t="n"/>
      <c r="C30" s="20" t="inlineStr">
        <is>
          <t>Total open interest across the whole chain</t>
        </is>
      </c>
      <c r="D30" s="12" t="n"/>
      <c r="E30" s="12" t="n"/>
      <c r="F30" s="12" t="n"/>
    </row>
    <row r="31">
      <c r="A31" s="19">
        <f>opt_PutCallVolRatio("NVDA")</f>
        <v/>
      </c>
      <c r="B31" s="12" t="n"/>
      <c r="C31" s="20" t="inlineStr">
        <is>
          <t>Put volume divided by call volume</t>
        </is>
      </c>
      <c r="D31" s="12" t="n"/>
      <c r="E31" s="12" t="n"/>
      <c r="F31" s="12" t="n"/>
    </row>
    <row r="32">
      <c r="A32" s="19">
        <f>ImpliedVolatilityRank1y("NVDA")</f>
        <v/>
      </c>
      <c r="B32" s="12" t="n"/>
      <c r="C32" s="20" t="inlineStr">
        <is>
          <t>Implied volatility rank inside its own one-year range</t>
        </is>
      </c>
      <c r="D32" s="12" t="n"/>
      <c r="E32" s="12" t="n"/>
      <c r="F32" s="12" t="n"/>
    </row>
    <row r="34">
      <c r="A34" s="21" t="inlineStr">
        <is>
          <t>MarketXLS: https://marketxls.com    |    Book a demo: https://marketxls.com/book-demo</t>
        </is>
      </c>
    </row>
  </sheetData>
  <mergeCells count="28">
    <mergeCell ref="A30:B30"/>
    <mergeCell ref="A27:F27"/>
    <mergeCell ref="C32:F32"/>
    <mergeCell ref="B18:F18"/>
    <mergeCell ref="C28:F28"/>
    <mergeCell ref="B21:F21"/>
    <mergeCell ref="B12:F12"/>
    <mergeCell ref="B11:F11"/>
    <mergeCell ref="C30:F30"/>
    <mergeCell ref="A24:F25"/>
    <mergeCell ref="B14:F14"/>
    <mergeCell ref="B8:F8"/>
    <mergeCell ref="B13:F13"/>
    <mergeCell ref="A1:J1"/>
    <mergeCell ref="B10:F10"/>
    <mergeCell ref="B19:F19"/>
    <mergeCell ref="C29:F29"/>
    <mergeCell ref="A32:B32"/>
    <mergeCell ref="A34:F34"/>
    <mergeCell ref="B9:F9"/>
    <mergeCell ref="C31:F31"/>
    <mergeCell ref="A29:B29"/>
    <mergeCell ref="B20:F20"/>
    <mergeCell ref="B15:F15"/>
    <mergeCell ref="A28:B28"/>
    <mergeCell ref="A2:J2"/>
    <mergeCell ref="A4:F5"/>
    <mergeCell ref="A31:B31"/>
  </mergeCells>
  <pageMargins left="0.75" right="0.75" top="1" bottom="1" header="0.5" footer="0.5"/>
</worksheet>
</file>

<file path=xl/worksheets/sheet3.xml><?xml version="1.0" encoding="utf-8"?>
<worksheet xmlns="http://schemas.openxmlformats.org/spreadsheetml/2006/main">
  <sheetPr>
    <tabColor rgb="00FFD60A"/>
    <outlinePr summaryBelow="1" summaryRight="1"/>
    <pageSetUpPr/>
  </sheetPr>
  <dimension ref="A1:J38"/>
  <sheetViews>
    <sheetView showGridLines="0" workbookViewId="0">
      <pane ySplit="4" topLeftCell="A5" activePane="bottomLeft" state="frozen"/>
      <selection pane="bottomLeft" activeCell="A1" sqref="A1"/>
    </sheetView>
  </sheetViews>
  <sheetFormatPr baseColWidth="8" defaultRowHeight="15"/>
  <cols>
    <col width="34" customWidth="1" min="1" max="1"/>
    <col width="18" customWidth="1" min="2" max="2"/>
    <col width="16" customWidth="1" min="3" max="3"/>
    <col width="44" customWidth="1" min="4" max="4"/>
    <col width="22" customWidth="1" min="5" max="5"/>
    <col width="22" customWidth="1" min="6" max="6"/>
  </cols>
  <sheetData>
    <row r="1" ht="30" customHeight="1">
      <c r="A1" s="6" t="inlineStr">
        <is>
          <t>Inputs</t>
        </is>
      </c>
    </row>
    <row r="2">
      <c r="A2" s="7" t="inlineStr">
        <is>
          <t>Yellow cells only. Every other sheet reads these cells, so change them here and nowhere else.</t>
        </is>
      </c>
    </row>
    <row r="4" ht="30" customHeight="1">
      <c r="A4" s="9" t="inlineStr">
        <is>
          <t>Input</t>
        </is>
      </c>
      <c r="B4" s="9" t="inlineStr">
        <is>
          <t>Value</t>
        </is>
      </c>
      <c r="C4" s="9" t="inlineStr">
        <is>
          <t>Unit</t>
        </is>
      </c>
      <c r="D4" s="9" t="inlineStr">
        <is>
          <t>What it controls</t>
        </is>
      </c>
      <c r="E4" s="9" t="inlineStr"/>
      <c r="F4" s="9" t="inlineStr"/>
    </row>
    <row r="5" ht="24" customHeight="1">
      <c r="A5" s="10" t="inlineStr">
        <is>
          <t>Account size</t>
        </is>
      </c>
      <c r="B5" s="22" t="n">
        <v>250000</v>
      </c>
      <c r="C5" s="23" t="inlineStr">
        <is>
          <t>USD</t>
        </is>
      </c>
      <c r="D5" s="11" t="inlineStr">
        <is>
          <t>Base for every position size on the Position Sizing sheet</t>
        </is>
      </c>
      <c r="E5" s="12" t="n"/>
      <c r="F5" s="12" t="n"/>
    </row>
    <row r="6" ht="24" customHeight="1">
      <c r="A6" s="10" t="inlineStr">
        <is>
          <t>Risk per idea</t>
        </is>
      </c>
      <c r="B6" s="24" t="n">
        <v>0.0075</v>
      </c>
      <c r="C6" s="23" t="inlineStr">
        <is>
          <t>% of account</t>
        </is>
      </c>
      <c r="D6" s="11" t="inlineStr">
        <is>
          <t>Maximum premium at risk in any single flagged idea</t>
        </is>
      </c>
      <c r="E6" s="12" t="n"/>
      <c r="F6" s="12" t="n"/>
    </row>
    <row r="7" ht="24" customHeight="1">
      <c r="A7" s="10" t="inlineStr">
        <is>
          <t>Relative volume threshold</t>
        </is>
      </c>
      <c r="B7" s="25" t="n">
        <v>3</v>
      </c>
      <c r="C7" s="23" t="inlineStr">
        <is>
          <t>x</t>
        </is>
      </c>
      <c r="D7" s="11" t="inlineStr">
        <is>
          <t>Minimum today's volume divided by 20-day average to flag</t>
        </is>
      </c>
      <c r="E7" s="12" t="n"/>
      <c r="F7" s="12" t="n"/>
    </row>
    <row r="8" ht="24" customHeight="1">
      <c r="A8" s="10" t="inlineStr">
        <is>
          <t>Underlying Vol / OI threshold</t>
        </is>
      </c>
      <c r="B8" s="25" t="n">
        <v>0.12</v>
      </c>
      <c r="C8" s="23" t="inlineStr">
        <is>
          <t>ratio</t>
        </is>
      </c>
      <c r="D8" s="11" t="inlineStr">
        <is>
          <t>Whole-chain volume divided by whole-chain open interest</t>
        </is>
      </c>
      <c r="E8" s="12" t="n"/>
      <c r="F8" s="12" t="n"/>
    </row>
    <row r="9" ht="24" customHeight="1">
      <c r="A9" s="10" t="inlineStr">
        <is>
          <t>Contract Vol / OI threshold</t>
        </is>
      </c>
      <c r="B9" s="25" t="n">
        <v>0.6</v>
      </c>
      <c r="C9" s="23" t="inlineStr">
        <is>
          <t>ratio</t>
        </is>
      </c>
      <c r="D9" s="11" t="inlineStr">
        <is>
          <t>Single-contract volume divided by that contract's open interest</t>
        </is>
      </c>
      <c r="E9" s="12" t="n"/>
      <c r="F9" s="12" t="n"/>
    </row>
    <row r="10" ht="24" customHeight="1">
      <c r="A10" s="10" t="inlineStr">
        <is>
          <t>Minimum options volume</t>
        </is>
      </c>
      <c r="B10" s="26" t="n">
        <v>50000</v>
      </c>
      <c r="C10" s="23" t="inlineStr">
        <is>
          <t>contracts</t>
        </is>
      </c>
      <c r="D10" s="11" t="inlineStr">
        <is>
          <t>Liquidity floor, filters thin chains out of the scan</t>
        </is>
      </c>
      <c r="E10" s="12" t="n"/>
      <c r="F10" s="12" t="n"/>
    </row>
    <row r="11" ht="24" customHeight="1">
      <c r="A11" s="10" t="inlineStr">
        <is>
          <t>Minimum IV rank</t>
        </is>
      </c>
      <c r="B11" s="27" t="n">
        <v>20</v>
      </c>
      <c r="C11" s="23" t="inlineStr">
        <is>
          <t>0-100</t>
        </is>
      </c>
      <c r="D11" s="11" t="inlineStr">
        <is>
          <t>Ignores flags where implied volatility is dead in its own range</t>
        </is>
      </c>
      <c r="E11" s="12" t="n"/>
      <c r="F11" s="12" t="n"/>
    </row>
    <row r="12" ht="24" customHeight="1">
      <c r="A12" s="10" t="inlineStr">
        <is>
          <t>Composite score cutoff</t>
        </is>
      </c>
      <c r="B12" s="27" t="n">
        <v>45</v>
      </c>
      <c r="C12" s="23" t="inlineStr">
        <is>
          <t>0-100</t>
        </is>
      </c>
      <c r="D12" s="11" t="inlineStr">
        <is>
          <t>Score at or above this level earns a REVIEW flag</t>
        </is>
      </c>
      <c r="E12" s="12" t="n"/>
      <c r="F12" s="12" t="n"/>
    </row>
    <row r="13" ht="24" customHeight="1">
      <c r="A13" s="10" t="inlineStr">
        <is>
          <t>Days to expiration</t>
        </is>
      </c>
      <c r="B13" s="28" t="n">
        <v>34</v>
      </c>
      <c r="C13" s="23" t="inlineStr">
        <is>
          <t>days</t>
        </is>
      </c>
      <c r="D13" s="11" t="inlineStr">
        <is>
          <t>Used for every Greek on the Contract Detail sheet</t>
        </is>
      </c>
      <c r="E13" s="12" t="n"/>
      <c r="F13" s="12" t="n"/>
    </row>
    <row r="14" ht="24" customHeight="1">
      <c r="A14" s="10" t="inlineStr">
        <is>
          <t>Risk free rate</t>
        </is>
      </c>
      <c r="B14" s="24" t="n">
        <v>0.041</v>
      </c>
      <c r="C14" s="23" t="inlineStr">
        <is>
          <t>annual</t>
        </is>
      </c>
      <c r="D14" s="11" t="inlineStr">
        <is>
          <t>Discount rate inside the Greeks</t>
        </is>
      </c>
      <c r="E14" s="12" t="n"/>
      <c r="F14" s="12" t="n"/>
    </row>
    <row r="16">
      <c r="A16" s="16" t="inlineStr">
        <is>
          <t>Watchlist</t>
        </is>
      </c>
    </row>
    <row r="17" ht="30" customHeight="1">
      <c r="A17" s="9" t="inlineStr">
        <is>
          <t>#</t>
        </is>
      </c>
      <c r="B17" s="9" t="inlineStr">
        <is>
          <t>Ticker</t>
        </is>
      </c>
      <c r="C17" s="9" t="inlineStr">
        <is>
          <t>Optionable check</t>
        </is>
      </c>
      <c r="D17" s="9" t="inlineStr">
        <is>
          <t>Sector</t>
        </is>
      </c>
      <c r="E17" s="9" t="inlineStr">
        <is>
          <t>Beta</t>
        </is>
      </c>
      <c r="F17" s="9" t="inlineStr"/>
    </row>
    <row r="18">
      <c r="A18" s="29" t="n">
        <v>1</v>
      </c>
      <c r="B18" s="30" t="inlineStr">
        <is>
          <t>NVDA</t>
        </is>
      </c>
      <c r="C18" s="29" t="inlineStr">
        <is>
          <t>Yes</t>
        </is>
      </c>
      <c r="D18" s="31" t="inlineStr">
        <is>
          <t>Technology</t>
        </is>
      </c>
      <c r="E18" s="32" t="n">
        <v>2.11</v>
      </c>
      <c r="F18" s="12" t="n"/>
    </row>
    <row r="19">
      <c r="A19" s="33" t="n">
        <v>2</v>
      </c>
      <c r="B19" s="34" t="inlineStr">
        <is>
          <t>AMD</t>
        </is>
      </c>
      <c r="C19" s="33" t="inlineStr">
        <is>
          <t>Yes</t>
        </is>
      </c>
      <c r="D19" s="35" t="inlineStr">
        <is>
          <t>Technology</t>
        </is>
      </c>
      <c r="E19" s="36" t="n">
        <v>2.04</v>
      </c>
      <c r="F19" s="15" t="n"/>
    </row>
    <row r="20">
      <c r="A20" s="29" t="n">
        <v>3</v>
      </c>
      <c r="B20" s="30" t="inlineStr">
        <is>
          <t>SPY</t>
        </is>
      </c>
      <c r="C20" s="29" t="inlineStr">
        <is>
          <t>Yes</t>
        </is>
      </c>
      <c r="D20" s="31" t="inlineStr">
        <is>
          <t>Financial Services</t>
        </is>
      </c>
      <c r="E20" s="32" t="n">
        <v>1</v>
      </c>
      <c r="F20" s="12" t="n"/>
    </row>
    <row r="21">
      <c r="A21" s="33" t="n">
        <v>4</v>
      </c>
      <c r="B21" s="34" t="inlineStr">
        <is>
          <t>XLE</t>
        </is>
      </c>
      <c r="C21" s="33" t="inlineStr">
        <is>
          <t>Yes</t>
        </is>
      </c>
      <c r="D21" s="35" t="inlineStr">
        <is>
          <t>Energy</t>
        </is>
      </c>
      <c r="E21" s="36" t="n">
        <v>0.78</v>
      </c>
      <c r="F21" s="15" t="n"/>
    </row>
    <row r="22">
      <c r="A22" s="29" t="n">
        <v>5</v>
      </c>
      <c r="B22" s="30" t="inlineStr">
        <is>
          <t>PLTR</t>
        </is>
      </c>
      <c r="C22" s="29" t="inlineStr">
        <is>
          <t>Yes</t>
        </is>
      </c>
      <c r="D22" s="31" t="inlineStr">
        <is>
          <t>Technology</t>
        </is>
      </c>
      <c r="E22" s="32" t="n">
        <v>2.36</v>
      </c>
      <c r="F22" s="12" t="n"/>
    </row>
    <row r="23">
      <c r="A23" s="33" t="n">
        <v>6</v>
      </c>
      <c r="B23" s="34" t="inlineStr">
        <is>
          <t>AAPL</t>
        </is>
      </c>
      <c r="C23" s="33" t="inlineStr">
        <is>
          <t>Yes</t>
        </is>
      </c>
      <c r="D23" s="35" t="inlineStr">
        <is>
          <t>Technology</t>
        </is>
      </c>
      <c r="E23" s="36" t="n">
        <v>1.18</v>
      </c>
      <c r="F23" s="15" t="n"/>
    </row>
    <row r="24">
      <c r="A24" s="29" t="n">
        <v>7</v>
      </c>
      <c r="B24" s="30" t="inlineStr">
        <is>
          <t>MSFT</t>
        </is>
      </c>
      <c r="C24" s="29" t="inlineStr">
        <is>
          <t>Yes</t>
        </is>
      </c>
      <c r="D24" s="31" t="inlineStr">
        <is>
          <t>Technology</t>
        </is>
      </c>
      <c r="E24" s="32" t="n">
        <v>0.9399999999999999</v>
      </c>
      <c r="F24" s="12" t="n"/>
    </row>
    <row r="25">
      <c r="A25" s="33" t="n">
        <v>8</v>
      </c>
      <c r="B25" s="34" t="inlineStr">
        <is>
          <t>COIN</t>
        </is>
      </c>
      <c r="C25" s="33" t="inlineStr">
        <is>
          <t>Yes</t>
        </is>
      </c>
      <c r="D25" s="35" t="inlineStr">
        <is>
          <t>Financial Services</t>
        </is>
      </c>
      <c r="E25" s="36" t="n">
        <v>3.02</v>
      </c>
      <c r="F25" s="15" t="n"/>
    </row>
    <row r="26">
      <c r="A26" s="29" t="n">
        <v>9</v>
      </c>
      <c r="B26" s="30" t="inlineStr">
        <is>
          <t>MU</t>
        </is>
      </c>
      <c r="C26" s="29" t="inlineStr">
        <is>
          <t>Yes</t>
        </is>
      </c>
      <c r="D26" s="31" t="inlineStr">
        <is>
          <t>Technology</t>
        </is>
      </c>
      <c r="E26" s="32" t="n">
        <v>1.62</v>
      </c>
      <c r="F26" s="12" t="n"/>
    </row>
    <row r="27">
      <c r="A27" s="33" t="n">
        <v>10</v>
      </c>
      <c r="B27" s="34" t="inlineStr">
        <is>
          <t>XOM</t>
        </is>
      </c>
      <c r="C27" s="33" t="inlineStr">
        <is>
          <t>Yes</t>
        </is>
      </c>
      <c r="D27" s="35" t="inlineStr">
        <is>
          <t>Energy</t>
        </is>
      </c>
      <c r="E27" s="36" t="n">
        <v>0.71</v>
      </c>
      <c r="F27" s="15" t="n"/>
    </row>
    <row r="28">
      <c r="A28" s="29" t="n">
        <v>11</v>
      </c>
      <c r="B28" s="30" t="inlineStr">
        <is>
          <t>JPM</t>
        </is>
      </c>
      <c r="C28" s="29" t="inlineStr">
        <is>
          <t>Yes</t>
        </is>
      </c>
      <c r="D28" s="31" t="inlineStr">
        <is>
          <t>Financial Services</t>
        </is>
      </c>
      <c r="E28" s="32" t="n">
        <v>1.06</v>
      </c>
      <c r="F28" s="12" t="n"/>
    </row>
    <row r="29">
      <c r="A29" s="33" t="n">
        <v>12</v>
      </c>
      <c r="B29" s="34" t="inlineStr">
        <is>
          <t>IWM</t>
        </is>
      </c>
      <c r="C29" s="33" t="inlineStr">
        <is>
          <t>Yes</t>
        </is>
      </c>
      <c r="D29" s="35" t="inlineStr">
        <is>
          <t>Financial Services</t>
        </is>
      </c>
      <c r="E29" s="36" t="n">
        <v>1.14</v>
      </c>
      <c r="F29" s="15" t="n"/>
    </row>
    <row r="32">
      <c r="A32" s="18" t="inlineStr">
        <is>
          <t>MarketXLS Functions Used in This Sheet</t>
        </is>
      </c>
      <c r="B32" s="12" t="n"/>
      <c r="C32" s="12" t="n"/>
      <c r="D32" s="12" t="n"/>
      <c r="E32" s="12" t="n"/>
      <c r="F32" s="12" t="n"/>
    </row>
    <row r="33">
      <c r="A33" s="19">
        <f>IsOptionable("NVDA")</f>
        <v/>
      </c>
      <c r="B33" s="12" t="n"/>
      <c r="C33" s="20" t="inlineStr">
        <is>
          <t>Confirms the underlying has a listed options chain</t>
        </is>
      </c>
      <c r="D33" s="12" t="n"/>
      <c r="E33" s="12" t="n"/>
      <c r="F33" s="12" t="n"/>
    </row>
    <row r="34">
      <c r="A34" s="19">
        <f>Sector("NVDA")</f>
        <v/>
      </c>
      <c r="B34" s="12" t="n"/>
      <c r="C34" s="20" t="inlineStr">
        <is>
          <t>Sector label, used to group the watchlist</t>
        </is>
      </c>
      <c r="D34" s="12" t="n"/>
      <c r="E34" s="12" t="n"/>
      <c r="F34" s="12" t="n"/>
    </row>
    <row r="35">
      <c r="A35" s="19">
        <f>Beta("NVDA")</f>
        <v/>
      </c>
      <c r="B35" s="12" t="n"/>
      <c r="C35" s="20" t="inlineStr">
        <is>
          <t>Beta against the broad market</t>
        </is>
      </c>
      <c r="D35" s="12" t="n"/>
      <c r="E35" s="12" t="n"/>
      <c r="F35" s="12" t="n"/>
    </row>
    <row r="36">
      <c r="A36" s="19">
        <f>QM_Last("NVDA")</f>
        <v/>
      </c>
      <c r="B36" s="12" t="n"/>
      <c r="C36" s="20" t="inlineStr">
        <is>
          <t>Last traded price of the underlying</t>
        </is>
      </c>
      <c r="D36" s="12" t="n"/>
      <c r="E36" s="12" t="n"/>
      <c r="F36" s="12" t="n"/>
    </row>
    <row r="38">
      <c r="A38" s="21" t="inlineStr">
        <is>
          <t>MarketXLS: https://marketxls.com    |    Book a demo: https://marketxls.com/book-demo</t>
        </is>
      </c>
    </row>
  </sheetData>
  <mergeCells count="22">
    <mergeCell ref="D11:F11"/>
    <mergeCell ref="D13:F13"/>
    <mergeCell ref="A36:B36"/>
    <mergeCell ref="D7:F7"/>
    <mergeCell ref="C34:F34"/>
    <mergeCell ref="A32:F32"/>
    <mergeCell ref="D12:F12"/>
    <mergeCell ref="D9:F9"/>
    <mergeCell ref="C33:F33"/>
    <mergeCell ref="D8:F8"/>
    <mergeCell ref="A38:F38"/>
    <mergeCell ref="A1:J1"/>
    <mergeCell ref="D14:F14"/>
    <mergeCell ref="D5:F5"/>
    <mergeCell ref="C35:F35"/>
    <mergeCell ref="A33:B33"/>
    <mergeCell ref="A35:B35"/>
    <mergeCell ref="D10:F10"/>
    <mergeCell ref="A2:J2"/>
    <mergeCell ref="D6:F6"/>
    <mergeCell ref="C36:F36"/>
    <mergeCell ref="A34:B34"/>
  </mergeCells>
  <pageMargins left="0.75" right="0.75" top="1" bottom="1" header="0.5" footer="0.5"/>
  <legacyDrawing xmlns:r="http://schemas.openxmlformats.org/officeDocument/2006/relationships" r:id="anysvml"/>
</worksheet>
</file>

<file path=xl/worksheets/sheet4.xml><?xml version="1.0" encoding="utf-8"?>
<worksheet xmlns="http://schemas.openxmlformats.org/spreadsheetml/2006/main">
  <sheetPr>
    <tabColor rgb="000066CC"/>
    <outlinePr summaryBelow="1" summaryRight="1"/>
    <pageSetUpPr/>
  </sheetPr>
  <dimension ref="A1:P53"/>
  <sheetViews>
    <sheetView showGridLines="0" workbookViewId="0">
      <pane xSplit="2" ySplit="8" topLeftCell="C9" activePane="bottomRight" state="frozen"/>
      <selection pane="topRight"/>
      <selection pane="bottomLeft"/>
      <selection pane="bottomRight" activeCell="A1" sqref="A1"/>
    </sheetView>
  </sheetViews>
  <sheetFormatPr baseColWidth="8" defaultRowHeight="15"/>
  <cols>
    <col width="5" customWidth="1" min="1" max="1"/>
    <col width="10" customWidth="1" min="2" max="2"/>
    <col width="20" customWidth="1" min="3" max="3"/>
    <col width="12" customWidth="1" min="4" max="4"/>
    <col width="16" customWidth="1" min="5" max="5"/>
    <col width="16" customWidth="1" min="6" max="6"/>
    <col width="13" customWidth="1" min="7" max="7"/>
    <col width="16" customWidth="1" min="8" max="8"/>
    <col width="11" customWidth="1" min="9" max="9"/>
    <col width="14" customWidth="1" min="10" max="10"/>
    <col width="14" customWidth="1" min="11" max="11"/>
    <col width="13" customWidth="1" min="12" max="12"/>
    <col width="11" customWidth="1" min="13" max="13"/>
    <col width="10" customWidth="1" min="14" max="14"/>
    <col width="14" customWidth="1" min="15" max="15"/>
    <col width="46" customWidth="1" min="16" max="16"/>
  </cols>
  <sheetData>
    <row r="1" ht="30" customHeight="1">
      <c r="A1" s="6" t="inlineStr">
        <is>
          <t>Flow Scanner</t>
        </is>
      </c>
    </row>
    <row r="2">
      <c r="A2" s="7" t="inlineStr">
        <is>
          <t>Static snapshot as of 2026-08-15. Ranked by composite score.</t>
        </is>
      </c>
    </row>
    <row r="4">
      <c r="A4" s="37" t="inlineStr">
        <is>
          <t>NAMES SCANNED</t>
        </is>
      </c>
      <c r="B4" s="38" t="n"/>
      <c r="C4" s="37" t="inlineStr">
        <is>
          <t>SCORE 60 OR ABOVE</t>
        </is>
      </c>
      <c r="D4" s="38" t="n"/>
      <c r="E4" s="37" t="inlineStr">
        <is>
          <t>TOP SCORE</t>
        </is>
      </c>
      <c r="F4" s="38" t="n"/>
      <c r="G4" s="37" t="inlineStr">
        <is>
          <t>TOP NAME</t>
        </is>
      </c>
      <c r="H4" s="38" t="n"/>
      <c r="I4" s="37" t="inlineStr">
        <is>
          <t>HIGHEST REL VOL</t>
        </is>
      </c>
      <c r="J4" s="38" t="n"/>
      <c r="K4" s="37" t="inlineStr">
        <is>
          <t>HIGHEST VOL/OI</t>
        </is>
      </c>
      <c r="L4" s="38" t="n"/>
      <c r="M4" s="37" t="inlineStr">
        <is>
          <t>DATA DATE</t>
        </is>
      </c>
      <c r="N4" s="38" t="n"/>
      <c r="O4" s="38" t="n"/>
    </row>
    <row r="5" ht="30" customHeight="1">
      <c r="A5" s="39" t="n">
        <v>12</v>
      </c>
      <c r="B5" s="38" t="n"/>
      <c r="C5" s="39" t="n">
        <v>5</v>
      </c>
      <c r="D5" s="38" t="n"/>
      <c r="E5" s="40" t="n">
        <v>70.40000000000001</v>
      </c>
      <c r="F5" s="38" t="n"/>
      <c r="G5" s="41" t="inlineStr">
        <is>
          <t>XLE</t>
        </is>
      </c>
      <c r="H5" s="38" t="n"/>
      <c r="I5" s="42" t="n">
        <v>4.011126564673157</v>
      </c>
      <c r="J5" s="38" t="n"/>
      <c r="K5" s="42" t="n">
        <v>0.1944123736915928</v>
      </c>
      <c r="L5" s="38" t="n"/>
      <c r="M5" s="41" t="inlineStr">
        <is>
          <t>2026-08-15</t>
        </is>
      </c>
      <c r="N5" s="38" t="n"/>
      <c r="O5" s="38" t="n"/>
    </row>
    <row r="8" ht="30" customHeight="1">
      <c r="A8" s="9" t="inlineStr">
        <is>
          <t>#</t>
        </is>
      </c>
      <c r="B8" s="9" t="inlineStr">
        <is>
          <t>Ticker</t>
        </is>
      </c>
      <c r="C8" s="9" t="inlineStr">
        <is>
          <t>Sector</t>
        </is>
      </c>
      <c r="D8" s="9" t="inlineStr">
        <is>
          <t>Last</t>
        </is>
      </c>
      <c r="E8" s="9" t="inlineStr">
        <is>
          <t>Options Volume</t>
        </is>
      </c>
      <c r="F8" s="9" t="inlineStr">
        <is>
          <t>20d Avg Volume</t>
        </is>
      </c>
      <c r="G8" s="9" t="inlineStr">
        <is>
          <t>Rel Vol (x)</t>
        </is>
      </c>
      <c r="H8" s="9" t="inlineStr">
        <is>
          <t>Open Interest</t>
        </is>
      </c>
      <c r="I8" s="9" t="inlineStr">
        <is>
          <t>Vol / OI</t>
        </is>
      </c>
      <c r="J8" s="9" t="inlineStr">
        <is>
          <t>Call Vol</t>
        </is>
      </c>
      <c r="K8" s="9" t="inlineStr">
        <is>
          <t>Put Vol</t>
        </is>
      </c>
      <c r="L8" s="9" t="inlineStr">
        <is>
          <t>Put/Call Vol</t>
        </is>
      </c>
      <c r="M8" s="9" t="inlineStr">
        <is>
          <t>IV Rank</t>
        </is>
      </c>
      <c r="N8" s="9" t="inlineStr">
        <is>
          <t>Score</t>
        </is>
      </c>
      <c r="O8" s="9" t="inlineStr">
        <is>
          <t>Flag</t>
        </is>
      </c>
      <c r="P8" s="9" t="inlineStr">
        <is>
          <t>MarketXLS Formula</t>
        </is>
      </c>
    </row>
    <row r="9">
      <c r="A9" s="29" t="n">
        <v>1</v>
      </c>
      <c r="B9" s="43" t="inlineStr">
        <is>
          <t>XLE</t>
        </is>
      </c>
      <c r="C9" s="31" t="inlineStr">
        <is>
          <t>Energy</t>
        </is>
      </c>
      <c r="D9" s="44" t="n">
        <v>94.17</v>
      </c>
      <c r="E9" s="45" t="n">
        <v>288400</v>
      </c>
      <c r="F9" s="45" t="n">
        <v>71900</v>
      </c>
      <c r="G9" s="32">
        <f>IFERROR(E9/F9,0)</f>
        <v/>
      </c>
      <c r="H9" s="45" t="n">
        <v>1996300</v>
      </c>
      <c r="I9" s="32">
        <f>IFERROR(E9/H9,0)</f>
        <v/>
      </c>
      <c r="J9" s="45" t="n">
        <v>201600</v>
      </c>
      <c r="K9" s="45" t="n">
        <v>86800</v>
      </c>
      <c r="L9" s="32">
        <f>IFERROR(K9/J9,0)</f>
        <v/>
      </c>
      <c r="M9" s="46" t="n">
        <v>63.5</v>
      </c>
      <c r="N9" s="47">
        <f>ROUND(MIN(G9/5,1)*40 + MIN(I9/0.25,1)*30 + MIN(MAX(M9,0)/100,1)*15 + MIN(ABS(LN(MAX(L9,0.05)))/1.1,1)*15, 1)</f>
        <v/>
      </c>
      <c r="O9" s="43">
        <f>IF(AND(N9&gt;=Inputs!$B$12, E9&gt;=Inputs!$B$10, M9&gt;=Inputs!$B$11),"REVIEW",IF(N9&gt;=Inputs!$B$12*0.75,"WATCH","-"))</f>
        <v/>
      </c>
      <c r="P9" s="19">
        <f>opt_TotalVolumeOptions("XLE") / opt_VolumeOptionsAverage("XLE",20)</f>
        <v/>
      </c>
    </row>
    <row r="10">
      <c r="A10" s="33" t="n">
        <v>2</v>
      </c>
      <c r="B10" s="34" t="inlineStr">
        <is>
          <t>AMD</t>
        </is>
      </c>
      <c r="C10" s="35" t="inlineStr">
        <is>
          <t>Technology</t>
        </is>
      </c>
      <c r="D10" s="48" t="n">
        <v>162.85</v>
      </c>
      <c r="E10" s="49" t="n">
        <v>704900</v>
      </c>
      <c r="F10" s="49" t="n">
        <v>188600</v>
      </c>
      <c r="G10" s="36">
        <f>IFERROR(E10/F10,0)</f>
        <v/>
      </c>
      <c r="H10" s="49" t="n">
        <v>4812400</v>
      </c>
      <c r="I10" s="36">
        <f>IFERROR(E10/H10,0)</f>
        <v/>
      </c>
      <c r="J10" s="49" t="n">
        <v>512300</v>
      </c>
      <c r="K10" s="49" t="n">
        <v>192600</v>
      </c>
      <c r="L10" s="36">
        <f>IFERROR(K10/J10,0)</f>
        <v/>
      </c>
      <c r="M10" s="50" t="n">
        <v>55.8</v>
      </c>
      <c r="N10" s="51">
        <f>ROUND(MIN(G10/5,1)*40 + MIN(I10/0.25,1)*30 + MIN(MAX(M10,0)/100,1)*15 + MIN(ABS(LN(MAX(L10,0.05)))/1.1,1)*15, 1)</f>
        <v/>
      </c>
      <c r="O10" s="34">
        <f>IF(AND(N10&gt;=Inputs!$B$12, E10&gt;=Inputs!$B$10, M10&gt;=Inputs!$B$11),"REVIEW",IF(N10&gt;=Inputs!$B$12*0.75,"WATCH","-"))</f>
        <v/>
      </c>
      <c r="P10" s="52">
        <f>opt_TotalVolumeOptions("AMD") / opt_VolumeOptionsAverage("AMD",20)</f>
        <v/>
      </c>
    </row>
    <row r="11">
      <c r="A11" s="29" t="n">
        <v>3</v>
      </c>
      <c r="B11" s="43" t="inlineStr">
        <is>
          <t>MU</t>
        </is>
      </c>
      <c r="C11" s="31" t="inlineStr">
        <is>
          <t>Technology</t>
        </is>
      </c>
      <c r="D11" s="44" t="n">
        <v>142.29</v>
      </c>
      <c r="E11" s="45" t="n">
        <v>356100</v>
      </c>
      <c r="F11" s="45" t="n">
        <v>109700</v>
      </c>
      <c r="G11" s="32">
        <f>IFERROR(E11/F11,0)</f>
        <v/>
      </c>
      <c r="H11" s="45" t="n">
        <v>2318900</v>
      </c>
      <c r="I11" s="32">
        <f>IFERROR(E11/H11,0)</f>
        <v/>
      </c>
      <c r="J11" s="45" t="n">
        <v>256800</v>
      </c>
      <c r="K11" s="45" t="n">
        <v>99300</v>
      </c>
      <c r="L11" s="32">
        <f>IFERROR(K11/J11,0)</f>
        <v/>
      </c>
      <c r="M11" s="46" t="n">
        <v>51.7</v>
      </c>
      <c r="N11" s="47">
        <f>ROUND(MIN(G11/5,1)*40 + MIN(I11/0.25,1)*30 + MIN(MAX(M11,0)/100,1)*15 + MIN(ABS(LN(MAX(L11,0.05)))/1.1,1)*15, 1)</f>
        <v/>
      </c>
      <c r="O11" s="43">
        <f>IF(AND(N11&gt;=Inputs!$B$12, E11&gt;=Inputs!$B$10, M11&gt;=Inputs!$B$11),"REVIEW",IF(N11&gt;=Inputs!$B$12*0.75,"WATCH","-"))</f>
        <v/>
      </c>
      <c r="P11" s="19">
        <f>opt_TotalVolumeOptions("MU") / opt_VolumeOptionsAverage("MU",20)</f>
        <v/>
      </c>
    </row>
    <row r="12">
      <c r="A12" s="33" t="n">
        <v>4</v>
      </c>
      <c r="B12" s="34" t="inlineStr">
        <is>
          <t>PLTR</t>
        </is>
      </c>
      <c r="C12" s="35" t="inlineStr">
        <is>
          <t>Technology</t>
        </is>
      </c>
      <c r="D12" s="48" t="n">
        <v>158.03</v>
      </c>
      <c r="E12" s="49" t="n">
        <v>612700</v>
      </c>
      <c r="F12" s="49" t="n">
        <v>204100</v>
      </c>
      <c r="G12" s="36">
        <f>IFERROR(E12/F12,0)</f>
        <v/>
      </c>
      <c r="H12" s="49" t="n">
        <v>3884600</v>
      </c>
      <c r="I12" s="36">
        <f>IFERROR(E12/H12,0)</f>
        <v/>
      </c>
      <c r="J12" s="49" t="n">
        <v>448900</v>
      </c>
      <c r="K12" s="49" t="n">
        <v>163800</v>
      </c>
      <c r="L12" s="36">
        <f>IFERROR(K12/J12,0)</f>
        <v/>
      </c>
      <c r="M12" s="50" t="n">
        <v>48.9</v>
      </c>
      <c r="N12" s="51">
        <f>ROUND(MIN(G12/5,1)*40 + MIN(I12/0.25,1)*30 + MIN(MAX(M12,0)/100,1)*15 + MIN(ABS(LN(MAX(L12,0.05)))/1.1,1)*15, 1)</f>
        <v/>
      </c>
      <c r="O12" s="34">
        <f>IF(AND(N12&gt;=Inputs!$B$12, E12&gt;=Inputs!$B$10, M12&gt;=Inputs!$B$11),"REVIEW",IF(N12&gt;=Inputs!$B$12*0.75,"WATCH","-"))</f>
        <v/>
      </c>
      <c r="P12" s="52">
        <f>opt_TotalVolumeOptions("PLTR") / opt_VolumeOptionsAverage("PLTR",20)</f>
        <v/>
      </c>
    </row>
    <row r="13">
      <c r="A13" s="29" t="n">
        <v>5</v>
      </c>
      <c r="B13" s="43" t="inlineStr">
        <is>
          <t>COIN</t>
        </is>
      </c>
      <c r="C13" s="31" t="inlineStr">
        <is>
          <t>Financial Services</t>
        </is>
      </c>
      <c r="D13" s="44" t="n">
        <v>312.44</v>
      </c>
      <c r="E13" s="45" t="n">
        <v>441600</v>
      </c>
      <c r="F13" s="45" t="n">
        <v>138200</v>
      </c>
      <c r="G13" s="32">
        <f>IFERROR(E13/F13,0)</f>
        <v/>
      </c>
      <c r="H13" s="45" t="n">
        <v>2704500</v>
      </c>
      <c r="I13" s="32">
        <f>IFERROR(E13/H13,0)</f>
        <v/>
      </c>
      <c r="J13" s="45" t="n">
        <v>298400</v>
      </c>
      <c r="K13" s="45" t="n">
        <v>143200</v>
      </c>
      <c r="L13" s="32">
        <f>IFERROR(K13/J13,0)</f>
        <v/>
      </c>
      <c r="M13" s="46" t="n">
        <v>58.3</v>
      </c>
      <c r="N13" s="47">
        <f>ROUND(MIN(G13/5,1)*40 + MIN(I13/0.25,1)*30 + MIN(MAX(M13,0)/100,1)*15 + MIN(ABS(LN(MAX(L13,0.05)))/1.1,1)*15, 1)</f>
        <v/>
      </c>
      <c r="O13" s="43">
        <f>IF(AND(N13&gt;=Inputs!$B$12, E13&gt;=Inputs!$B$10, M13&gt;=Inputs!$B$11),"REVIEW",IF(N13&gt;=Inputs!$B$12*0.75,"WATCH","-"))</f>
        <v/>
      </c>
      <c r="P13" s="19">
        <f>opt_TotalVolumeOptions("COIN") / opt_VolumeOptionsAverage("COIN",20)</f>
        <v/>
      </c>
    </row>
    <row r="14">
      <c r="A14" s="33" t="n">
        <v>6</v>
      </c>
      <c r="B14" s="34" t="inlineStr">
        <is>
          <t>NVDA</t>
        </is>
      </c>
      <c r="C14" s="35" t="inlineStr">
        <is>
          <t>Technology</t>
        </is>
      </c>
      <c r="D14" s="48" t="n">
        <v>178.42</v>
      </c>
      <c r="E14" s="49" t="n">
        <v>1842300</v>
      </c>
      <c r="F14" s="49" t="n">
        <v>612400</v>
      </c>
      <c r="G14" s="36">
        <f>IFERROR(E14/F14,0)</f>
        <v/>
      </c>
      <c r="H14" s="49" t="n">
        <v>14206800</v>
      </c>
      <c r="I14" s="36">
        <f>IFERROR(E14/H14,0)</f>
        <v/>
      </c>
      <c r="J14" s="49" t="n">
        <v>1301100</v>
      </c>
      <c r="K14" s="49" t="n">
        <v>541200</v>
      </c>
      <c r="L14" s="36">
        <f>IFERROR(K14/J14,0)</f>
        <v/>
      </c>
      <c r="M14" s="50" t="n">
        <v>41.2</v>
      </c>
      <c r="N14" s="51">
        <f>ROUND(MIN(G14/5,1)*40 + MIN(I14/0.25,1)*30 + MIN(MAX(M14,0)/100,1)*15 + MIN(ABS(LN(MAX(L14,0.05)))/1.1,1)*15, 1)</f>
        <v/>
      </c>
      <c r="O14" s="34">
        <f>IF(AND(N14&gt;=Inputs!$B$12, E14&gt;=Inputs!$B$10, M14&gt;=Inputs!$B$11),"REVIEW",IF(N14&gt;=Inputs!$B$12*0.75,"WATCH","-"))</f>
        <v/>
      </c>
      <c r="P14" s="52">
        <f>opt_TotalVolumeOptions("NVDA") / opt_VolumeOptionsAverage("NVDA",20)</f>
        <v/>
      </c>
    </row>
    <row r="15">
      <c r="A15" s="29" t="n">
        <v>7</v>
      </c>
      <c r="B15" s="43" t="inlineStr">
        <is>
          <t>SPY</t>
        </is>
      </c>
      <c r="C15" s="31" t="inlineStr">
        <is>
          <t>Financial Services</t>
        </is>
      </c>
      <c r="D15" s="44" t="n">
        <v>776.34</v>
      </c>
      <c r="E15" s="45" t="n">
        <v>6112500</v>
      </c>
      <c r="F15" s="45" t="n">
        <v>4980200</v>
      </c>
      <c r="G15" s="32">
        <f>IFERROR(E15/F15,0)</f>
        <v/>
      </c>
      <c r="H15" s="45" t="n">
        <v>31440900</v>
      </c>
      <c r="I15" s="32">
        <f>IFERROR(E15/H15,0)</f>
        <v/>
      </c>
      <c r="J15" s="45" t="n">
        <v>2704100</v>
      </c>
      <c r="K15" s="45" t="n">
        <v>3408400</v>
      </c>
      <c r="L15" s="32">
        <f>IFERROR(K15/J15,0)</f>
        <v/>
      </c>
      <c r="M15" s="46" t="n">
        <v>22.4</v>
      </c>
      <c r="N15" s="47">
        <f>ROUND(MIN(G15/5,1)*40 + MIN(I15/0.25,1)*30 + MIN(MAX(M15,0)/100,1)*15 + MIN(ABS(LN(MAX(L15,0.05)))/1.1,1)*15, 1)</f>
        <v/>
      </c>
      <c r="O15" s="43">
        <f>IF(AND(N15&gt;=Inputs!$B$12, E15&gt;=Inputs!$B$10, M15&gt;=Inputs!$B$11),"REVIEW",IF(N15&gt;=Inputs!$B$12*0.75,"WATCH","-"))</f>
        <v/>
      </c>
      <c r="P15" s="19">
        <f>opt_TotalVolumeOptions("SPY") / opt_VolumeOptionsAverage("SPY",20)</f>
        <v/>
      </c>
    </row>
    <row r="16">
      <c r="A16" s="33" t="n">
        <v>8</v>
      </c>
      <c r="B16" s="34" t="inlineStr">
        <is>
          <t>IWM</t>
        </is>
      </c>
      <c r="C16" s="35" t="inlineStr">
        <is>
          <t>Financial Services</t>
        </is>
      </c>
      <c r="D16" s="48" t="n">
        <v>238.91</v>
      </c>
      <c r="E16" s="49" t="n">
        <v>1204600</v>
      </c>
      <c r="F16" s="49" t="n">
        <v>968300</v>
      </c>
      <c r="G16" s="36">
        <f>IFERROR(E16/F16,0)</f>
        <v/>
      </c>
      <c r="H16" s="49" t="n">
        <v>9884100</v>
      </c>
      <c r="I16" s="36">
        <f>IFERROR(E16/H16,0)</f>
        <v/>
      </c>
      <c r="J16" s="49" t="n">
        <v>502800</v>
      </c>
      <c r="K16" s="49" t="n">
        <v>701800</v>
      </c>
      <c r="L16" s="36">
        <f>IFERROR(K16/J16,0)</f>
        <v/>
      </c>
      <c r="M16" s="50" t="n">
        <v>29.4</v>
      </c>
      <c r="N16" s="51">
        <f>ROUND(MIN(G16/5,1)*40 + MIN(I16/0.25,1)*30 + MIN(MAX(M16,0)/100,1)*15 + MIN(ABS(LN(MAX(L16,0.05)))/1.1,1)*15, 1)</f>
        <v/>
      </c>
      <c r="O16" s="34">
        <f>IF(AND(N16&gt;=Inputs!$B$12, E16&gt;=Inputs!$B$10, M16&gt;=Inputs!$B$11),"REVIEW",IF(N16&gt;=Inputs!$B$12*0.75,"WATCH","-"))</f>
        <v/>
      </c>
      <c r="P16" s="52">
        <f>opt_TotalVolumeOptions("IWM") / opt_VolumeOptionsAverage("IWM",20)</f>
        <v/>
      </c>
    </row>
    <row r="17">
      <c r="A17" s="29" t="n">
        <v>9</v>
      </c>
      <c r="B17" s="43" t="inlineStr">
        <is>
          <t>AAPL</t>
        </is>
      </c>
      <c r="C17" s="31" t="inlineStr">
        <is>
          <t>Technology</t>
        </is>
      </c>
      <c r="D17" s="44" t="n">
        <v>247.61</v>
      </c>
      <c r="E17" s="45" t="n">
        <v>812400</v>
      </c>
      <c r="F17" s="45" t="n">
        <v>486200</v>
      </c>
      <c r="G17" s="32">
        <f>IFERROR(E17/F17,0)</f>
        <v/>
      </c>
      <c r="H17" s="45" t="n">
        <v>10640200</v>
      </c>
      <c r="I17" s="32">
        <f>IFERROR(E17/H17,0)</f>
        <v/>
      </c>
      <c r="J17" s="45" t="n">
        <v>470100</v>
      </c>
      <c r="K17" s="45" t="n">
        <v>342300</v>
      </c>
      <c r="L17" s="32">
        <f>IFERROR(K17/J17,0)</f>
        <v/>
      </c>
      <c r="M17" s="46" t="n">
        <v>27.6</v>
      </c>
      <c r="N17" s="47">
        <f>ROUND(MIN(G17/5,1)*40 + MIN(I17/0.25,1)*30 + MIN(MAX(M17,0)/100,1)*15 + MIN(ABS(LN(MAX(L17,0.05)))/1.1,1)*15, 1)</f>
        <v/>
      </c>
      <c r="O17" s="43">
        <f>IF(AND(N17&gt;=Inputs!$B$12, E17&gt;=Inputs!$B$10, M17&gt;=Inputs!$B$11),"REVIEW",IF(N17&gt;=Inputs!$B$12*0.75,"WATCH","-"))</f>
        <v/>
      </c>
      <c r="P17" s="19">
        <f>opt_TotalVolumeOptions("AAPL") / opt_VolumeOptionsAverage("AAPL",20)</f>
        <v/>
      </c>
    </row>
    <row r="18">
      <c r="A18" s="33" t="n">
        <v>10</v>
      </c>
      <c r="B18" s="34" t="inlineStr">
        <is>
          <t>XOM</t>
        </is>
      </c>
      <c r="C18" s="35" t="inlineStr">
        <is>
          <t>Energy</t>
        </is>
      </c>
      <c r="D18" s="48" t="n">
        <v>118.76</v>
      </c>
      <c r="E18" s="49" t="n">
        <v>162300</v>
      </c>
      <c r="F18" s="49" t="n">
        <v>88400</v>
      </c>
      <c r="G18" s="36">
        <f>IFERROR(E18/F18,0)</f>
        <v/>
      </c>
      <c r="H18" s="49" t="n">
        <v>2886400</v>
      </c>
      <c r="I18" s="36">
        <f>IFERROR(E18/H18,0)</f>
        <v/>
      </c>
      <c r="J18" s="49" t="n">
        <v>94100</v>
      </c>
      <c r="K18" s="49" t="n">
        <v>68200</v>
      </c>
      <c r="L18" s="36">
        <f>IFERROR(K18/J18,0)</f>
        <v/>
      </c>
      <c r="M18" s="50" t="n">
        <v>34.2</v>
      </c>
      <c r="N18" s="51">
        <f>ROUND(MIN(G18/5,1)*40 + MIN(I18/0.25,1)*30 + MIN(MAX(M18,0)/100,1)*15 + MIN(ABS(LN(MAX(L18,0.05)))/1.1,1)*15, 1)</f>
        <v/>
      </c>
      <c r="O18" s="34">
        <f>IF(AND(N18&gt;=Inputs!$B$12, E18&gt;=Inputs!$B$10, M18&gt;=Inputs!$B$11),"REVIEW",IF(N18&gt;=Inputs!$B$12*0.75,"WATCH","-"))</f>
        <v/>
      </c>
      <c r="P18" s="52">
        <f>opt_TotalVolumeOptions("XOM") / opt_VolumeOptionsAverage("XOM",20)</f>
        <v/>
      </c>
    </row>
    <row r="19">
      <c r="A19" s="29" t="n">
        <v>11</v>
      </c>
      <c r="B19" s="43" t="inlineStr">
        <is>
          <t>MSFT</t>
        </is>
      </c>
      <c r="C19" s="31" t="inlineStr">
        <is>
          <t>Technology</t>
        </is>
      </c>
      <c r="D19" s="44" t="n">
        <v>521.08</v>
      </c>
      <c r="E19" s="45" t="n">
        <v>402800</v>
      </c>
      <c r="F19" s="45" t="n">
        <v>241500</v>
      </c>
      <c r="G19" s="32">
        <f>IFERROR(E19/F19,0)</f>
        <v/>
      </c>
      <c r="H19" s="45" t="n">
        <v>5218700</v>
      </c>
      <c r="I19" s="32">
        <f>IFERROR(E19/H19,0)</f>
        <v/>
      </c>
      <c r="J19" s="45" t="n">
        <v>233700</v>
      </c>
      <c r="K19" s="45" t="n">
        <v>169100</v>
      </c>
      <c r="L19" s="32">
        <f>IFERROR(K19/J19,0)</f>
        <v/>
      </c>
      <c r="M19" s="46" t="n">
        <v>24.1</v>
      </c>
      <c r="N19" s="47">
        <f>ROUND(MIN(G19/5,1)*40 + MIN(I19/0.25,1)*30 + MIN(MAX(M19,0)/100,1)*15 + MIN(ABS(LN(MAX(L19,0.05)))/1.1,1)*15, 1)</f>
        <v/>
      </c>
      <c r="O19" s="43">
        <f>IF(AND(N19&gt;=Inputs!$B$12, E19&gt;=Inputs!$B$10, M19&gt;=Inputs!$B$11),"REVIEW",IF(N19&gt;=Inputs!$B$12*0.75,"WATCH","-"))</f>
        <v/>
      </c>
      <c r="P19" s="19">
        <f>opt_TotalVolumeOptions("MSFT") / opt_VolumeOptionsAverage("MSFT",20)</f>
        <v/>
      </c>
    </row>
    <row r="20">
      <c r="A20" s="33" t="n">
        <v>12</v>
      </c>
      <c r="B20" s="34" t="inlineStr">
        <is>
          <t>JPM</t>
        </is>
      </c>
      <c r="C20" s="35" t="inlineStr">
        <is>
          <t>Financial Services</t>
        </is>
      </c>
      <c r="D20" s="48" t="n">
        <v>298.55</v>
      </c>
      <c r="E20" s="49" t="n">
        <v>148900</v>
      </c>
      <c r="F20" s="49" t="n">
        <v>102600</v>
      </c>
      <c r="G20" s="36">
        <f>IFERROR(E20/F20,0)</f>
        <v/>
      </c>
      <c r="H20" s="49" t="n">
        <v>2142800</v>
      </c>
      <c r="I20" s="36">
        <f>IFERROR(E20/H20,0)</f>
        <v/>
      </c>
      <c r="J20" s="49" t="n">
        <v>81400</v>
      </c>
      <c r="K20" s="49" t="n">
        <v>67500</v>
      </c>
      <c r="L20" s="36">
        <f>IFERROR(K20/J20,0)</f>
        <v/>
      </c>
      <c r="M20" s="50" t="n">
        <v>19.8</v>
      </c>
      <c r="N20" s="51">
        <f>ROUND(MIN(G20/5,1)*40 + MIN(I20/0.25,1)*30 + MIN(MAX(M20,0)/100,1)*15 + MIN(ABS(LN(MAX(L20,0.05)))/1.1,1)*15, 1)</f>
        <v/>
      </c>
      <c r="O20" s="34">
        <f>IF(AND(N20&gt;=Inputs!$B$12, E20&gt;=Inputs!$B$10, M20&gt;=Inputs!$B$11),"REVIEW",IF(N20&gt;=Inputs!$B$12*0.75,"WATCH","-"))</f>
        <v/>
      </c>
      <c r="P20" s="52">
        <f>opt_TotalVolumeOptions("JPM") / opt_VolumeOptionsAverage("JPM",20)</f>
        <v/>
      </c>
    </row>
    <row r="42">
      <c r="A42" s="18" t="inlineStr">
        <is>
          <t>MarketXLS Functions Used in This Sheet</t>
        </is>
      </c>
      <c r="B42" s="12" t="n"/>
      <c r="C42" s="12" t="n"/>
      <c r="D42" s="12" t="n"/>
      <c r="E42" s="12" t="n"/>
      <c r="F42" s="12" t="n"/>
      <c r="G42" s="12" t="n"/>
      <c r="H42" s="12" t="n"/>
    </row>
    <row r="43">
      <c r="A43" s="19">
        <f>opt_TotalVolumeOptions("NVDA")</f>
        <v/>
      </c>
      <c r="B43" s="12" t="n"/>
      <c r="C43" s="20" t="inlineStr">
        <is>
          <t>Total options volume across the chain today</t>
        </is>
      </c>
      <c r="D43" s="12" t="n"/>
      <c r="E43" s="12" t="n"/>
      <c r="F43" s="12" t="n"/>
      <c r="G43" s="12" t="n"/>
      <c r="H43" s="12" t="n"/>
    </row>
    <row r="44">
      <c r="A44" s="19">
        <f>opt_TotalVolumeOptions("NVDA","C")</f>
        <v/>
      </c>
      <c r="B44" s="12" t="n"/>
      <c r="C44" s="20" t="inlineStr">
        <is>
          <t>Call-side volume only</t>
        </is>
      </c>
      <c r="D44" s="12" t="n"/>
      <c r="E44" s="12" t="n"/>
      <c r="F44" s="12" t="n"/>
      <c r="G44" s="12" t="n"/>
      <c r="H44" s="12" t="n"/>
    </row>
    <row r="45">
      <c r="A45" s="19">
        <f>opt_TotalVolumeOptions("NVDA","P")</f>
        <v/>
      </c>
      <c r="B45" s="12" t="n"/>
      <c r="C45" s="20" t="inlineStr">
        <is>
          <t>Put-side volume only</t>
        </is>
      </c>
      <c r="D45" s="12" t="n"/>
      <c r="E45" s="12" t="n"/>
      <c r="F45" s="12" t="n"/>
      <c r="G45" s="12" t="n"/>
      <c r="H45" s="12" t="n"/>
    </row>
    <row r="46">
      <c r="A46" s="19">
        <f>opt_VolumeOptionsAverage("NVDA",20)</f>
        <v/>
      </c>
      <c r="B46" s="12" t="n"/>
      <c r="C46" s="20" t="inlineStr">
        <is>
          <t>The same name's own 20-day average options volume</t>
        </is>
      </c>
      <c r="D46" s="12" t="n"/>
      <c r="E46" s="12" t="n"/>
      <c r="F46" s="12" t="n"/>
      <c r="G46" s="12" t="n"/>
      <c r="H46" s="12" t="n"/>
    </row>
    <row r="47">
      <c r="A47" s="19">
        <f>opt_TotalOpenInterestOptions("NVDA")</f>
        <v/>
      </c>
      <c r="B47" s="12" t="n"/>
      <c r="C47" s="20" t="inlineStr">
        <is>
          <t>Total open interest across the chain</t>
        </is>
      </c>
      <c r="D47" s="12" t="n"/>
      <c r="E47" s="12" t="n"/>
      <c r="F47" s="12" t="n"/>
      <c r="G47" s="12" t="n"/>
      <c r="H47" s="12" t="n"/>
    </row>
    <row r="48">
      <c r="A48" s="19">
        <f>opt_PutCallVolRatio("NVDA")</f>
        <v/>
      </c>
      <c r="B48" s="12" t="n"/>
      <c r="C48" s="20" t="inlineStr">
        <is>
          <t>Put volume divided by call volume</t>
        </is>
      </c>
      <c r="D48" s="12" t="n"/>
      <c r="E48" s="12" t="n"/>
      <c r="F48" s="12" t="n"/>
      <c r="G48" s="12" t="n"/>
      <c r="H48" s="12" t="n"/>
    </row>
    <row r="49">
      <c r="A49" s="19">
        <f>ImpliedVolatilityRank1y("NVDA")</f>
        <v/>
      </c>
      <c r="B49" s="12" t="n"/>
      <c r="C49" s="20" t="inlineStr">
        <is>
          <t>Implied volatility rank in its own one-year range</t>
        </is>
      </c>
      <c r="D49" s="12" t="n"/>
      <c r="E49" s="12" t="n"/>
      <c r="F49" s="12" t="n"/>
      <c r="G49" s="12" t="n"/>
      <c r="H49" s="12" t="n"/>
    </row>
    <row r="50">
      <c r="A50" s="19">
        <f>QM_Last("NVDA")</f>
        <v/>
      </c>
      <c r="B50" s="12" t="n"/>
      <c r="C50" s="20" t="inlineStr">
        <is>
          <t>Last traded price of the underlying</t>
        </is>
      </c>
      <c r="D50" s="12" t="n"/>
      <c r="E50" s="12" t="n"/>
      <c r="F50" s="12" t="n"/>
      <c r="G50" s="12" t="n"/>
      <c r="H50" s="12" t="n"/>
    </row>
    <row r="51">
      <c r="A51" s="19">
        <f>Sector("NVDA")</f>
        <v/>
      </c>
      <c r="B51" s="12" t="n"/>
      <c r="C51" s="20" t="inlineStr">
        <is>
          <t>Sector label for the grouping sheet</t>
        </is>
      </c>
      <c r="D51" s="12" t="n"/>
      <c r="E51" s="12" t="n"/>
      <c r="F51" s="12" t="n"/>
      <c r="G51" s="12" t="n"/>
      <c r="H51" s="12" t="n"/>
    </row>
    <row r="53">
      <c r="A53" s="21" t="inlineStr">
        <is>
          <t>MarketXLS: https://marketxls.com    |    Book a demo: https://marketxls.com/book-demo</t>
        </is>
      </c>
    </row>
  </sheetData>
  <mergeCells count="36">
    <mergeCell ref="A48:B48"/>
    <mergeCell ref="C47:H47"/>
    <mergeCell ref="C50:H50"/>
    <mergeCell ref="C44:H44"/>
    <mergeCell ref="A49:B49"/>
    <mergeCell ref="A51:B51"/>
    <mergeCell ref="C5:D5"/>
    <mergeCell ref="A45:B45"/>
    <mergeCell ref="E5:F5"/>
    <mergeCell ref="K5:L5"/>
    <mergeCell ref="C43:H43"/>
    <mergeCell ref="C4:D4"/>
    <mergeCell ref="C51:H51"/>
    <mergeCell ref="E4:F4"/>
    <mergeCell ref="C46:H46"/>
    <mergeCell ref="A46:B46"/>
    <mergeCell ref="C48:H48"/>
    <mergeCell ref="A50:B50"/>
    <mergeCell ref="A1:P1"/>
    <mergeCell ref="M4:O4"/>
    <mergeCell ref="A47:B47"/>
    <mergeCell ref="A5:B5"/>
    <mergeCell ref="G5:H5"/>
    <mergeCell ref="A42:H42"/>
    <mergeCell ref="I5:J5"/>
    <mergeCell ref="C49:H49"/>
    <mergeCell ref="A4:B4"/>
    <mergeCell ref="G4:H4"/>
    <mergeCell ref="I4:J4"/>
    <mergeCell ref="A53:H53"/>
    <mergeCell ref="A43:B43"/>
    <mergeCell ref="M5:O5"/>
    <mergeCell ref="C45:H45"/>
    <mergeCell ref="A44:B44"/>
    <mergeCell ref="K4:L4"/>
    <mergeCell ref="A2:P2"/>
  </mergeCells>
  <conditionalFormatting sqref="G9:G20">
    <cfRule type="dataBar" priority="1">
      <dataBar>
        <cfvo type="num" val="0"/>
        <cfvo type="num" val="6"/>
        <color rgb="000066CC"/>
      </dataBar>
    </cfRule>
  </conditionalFormatting>
  <conditionalFormatting sqref="I9:I20">
    <cfRule type="dataBar" priority="2">
      <dataBar>
        <cfvo type="num" val="0"/>
        <cfvo type="num" val="1.5"/>
        <color rgb="00F59E0B"/>
      </dataBar>
    </cfRule>
  </conditionalFormatting>
  <conditionalFormatting sqref="N9:N20">
    <cfRule type="colorScale" priority="3">
      <colorScale>
        <cfvo type="num" val="0"/>
        <cfvo type="num" val="50"/>
        <cfvo type="num" val="100"/>
        <color rgb="00FFFFFF"/>
        <color rgb="00BFD8F2"/>
        <color rgb="000E7C66"/>
      </colorScale>
    </cfRule>
  </conditionalFormatting>
  <conditionalFormatting sqref="O9:O20">
    <cfRule type="cellIs" priority="4" operator="equal" dxfId="0">
      <formula>"REVIEW"</formula>
    </cfRule>
  </conditionalFormatting>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tabColor rgb="007C3AED"/>
    <outlinePr summaryBelow="1" summaryRight="1"/>
    <pageSetUpPr/>
  </sheetPr>
  <dimension ref="A1:P34"/>
  <sheetViews>
    <sheetView showGridLines="0" workbookViewId="0">
      <pane xSplit="2" ySplit="4" topLeftCell="C5" activePane="bottomRight" state="frozen"/>
      <selection pane="topRight"/>
      <selection pane="bottomLeft"/>
      <selection pane="bottomRight" activeCell="A1" sqref="A1"/>
    </sheetView>
  </sheetViews>
  <sheetFormatPr baseColWidth="8" defaultRowHeight="15"/>
  <cols>
    <col width="10" customWidth="1" min="1" max="1"/>
    <col width="8" customWidth="1" min="2" max="2"/>
    <col width="11" customWidth="1" min="3" max="3"/>
    <col width="13" customWidth="1" min="4" max="4"/>
    <col width="24" customWidth="1" min="5" max="5"/>
    <col width="10" customWidth="1" min="6" max="6"/>
    <col width="12" customWidth="1" min="7" max="7"/>
    <col width="14" customWidth="1" min="8" max="8"/>
    <col width="10" customWidth="1" min="9" max="9"/>
    <col width="12" customWidth="1" min="10" max="10"/>
    <col width="10" customWidth="1" min="11" max="11"/>
    <col width="11" customWidth="1" min="12" max="12"/>
    <col width="12" customWidth="1" min="13" max="13"/>
    <col width="10" customWidth="1" min="14" max="14"/>
    <col width="18" customWidth="1" min="15" max="15"/>
    <col width="14" customWidth="1" min="16" max="16"/>
  </cols>
  <sheetData>
    <row r="1" ht="30" customHeight="1">
      <c r="A1" s="6" t="inlineStr">
        <is>
          <t>Contract Detail</t>
        </is>
      </c>
    </row>
    <row r="2">
      <c r="A2" s="7" t="inlineStr">
        <is>
          <t>Underlying-level volume tells you where to look. Contract level tells you what actually traded.</t>
        </is>
      </c>
    </row>
    <row r="4" ht="30" customHeight="1">
      <c r="A4" s="9" t="inlineStr">
        <is>
          <t>Ticker</t>
        </is>
      </c>
      <c r="B4" s="9" t="inlineStr">
        <is>
          <t>Type</t>
        </is>
      </c>
      <c r="C4" s="9" t="inlineStr">
        <is>
          <t>Strike</t>
        </is>
      </c>
      <c r="D4" s="9" t="inlineStr">
        <is>
          <t>Expiration</t>
        </is>
      </c>
      <c r="E4" s="9" t="inlineStr">
        <is>
          <t>OCC Symbol</t>
        </is>
      </c>
      <c r="F4" s="9" t="inlineStr">
        <is>
          <t>Last</t>
        </is>
      </c>
      <c r="G4" s="9" t="inlineStr">
        <is>
          <t>Volume</t>
        </is>
      </c>
      <c r="H4" s="9" t="inlineStr">
        <is>
          <t>Open Interest</t>
        </is>
      </c>
      <c r="I4" s="9" t="inlineStr">
        <is>
          <t>Vol / OI</t>
        </is>
      </c>
      <c r="J4" s="9" t="inlineStr">
        <is>
          <t>Implied Vol</t>
        </is>
      </c>
      <c r="K4" s="9" t="inlineStr">
        <is>
          <t>Delta</t>
        </is>
      </c>
      <c r="L4" s="9" t="inlineStr">
        <is>
          <t>Gamma</t>
        </is>
      </c>
      <c r="M4" s="9" t="inlineStr">
        <is>
          <t>Theta / day</t>
        </is>
      </c>
      <c r="N4" s="9" t="inlineStr">
        <is>
          <t>Vega</t>
        </is>
      </c>
      <c r="O4" s="9" t="inlineStr">
        <is>
          <t>Premium Traded</t>
        </is>
      </c>
      <c r="P4" s="9" t="inlineStr">
        <is>
          <t>Opening Risk?</t>
        </is>
      </c>
    </row>
    <row r="5">
      <c r="A5" s="43" t="inlineStr">
        <is>
          <t>NVDA</t>
        </is>
      </c>
      <c r="B5" s="29" t="inlineStr">
        <is>
          <t>Call</t>
        </is>
      </c>
      <c r="C5" s="53" t="n">
        <v>190</v>
      </c>
      <c r="D5" s="29" t="inlineStr">
        <is>
          <t>2026-09-18</t>
        </is>
      </c>
      <c r="E5" s="54" t="inlineStr">
        <is>
          <t>NVDA260918C00190000</t>
        </is>
      </c>
      <c r="F5" s="44" t="n">
        <v>4.85</v>
      </c>
      <c r="G5" s="45" t="n">
        <v>142800</v>
      </c>
      <c r="H5" s="45" t="n">
        <v>38600</v>
      </c>
      <c r="I5" s="32">
        <f>IFERROR(G5/H5,0)</f>
        <v/>
      </c>
      <c r="J5" s="55" t="n">
        <v>0.412</v>
      </c>
      <c r="K5" s="56" t="n">
        <v>0.3420608582956527</v>
      </c>
      <c r="L5" s="57" t="n">
        <v>0.01636942518148316</v>
      </c>
      <c r="M5" s="44" t="n">
        <v>-0.1274870768742108</v>
      </c>
      <c r="N5" s="44" t="n">
        <v>0.1999879220567029</v>
      </c>
      <c r="O5" s="58">
        <f>G5*F5*100</f>
        <v/>
      </c>
      <c r="P5" s="29">
        <f>IF(I5&gt;=Inputs!$B$9,"Likely opening","Ambiguous")</f>
        <v/>
      </c>
    </row>
    <row r="6">
      <c r="A6" s="34" t="inlineStr">
        <is>
          <t>NVDA</t>
        </is>
      </c>
      <c r="B6" s="33" t="inlineStr">
        <is>
          <t>Call</t>
        </is>
      </c>
      <c r="C6" s="59" t="n">
        <v>200</v>
      </c>
      <c r="D6" s="33" t="inlineStr">
        <is>
          <t>2026-09-18</t>
        </is>
      </c>
      <c r="E6" s="60" t="inlineStr">
        <is>
          <t>NVDA260918C00200000</t>
        </is>
      </c>
      <c r="F6" s="48" t="n">
        <v>2.61</v>
      </c>
      <c r="G6" s="49" t="n">
        <v>118400</v>
      </c>
      <c r="H6" s="49" t="n">
        <v>91200</v>
      </c>
      <c r="I6" s="36">
        <f>IFERROR(G6/H6,0)</f>
        <v/>
      </c>
      <c r="J6" s="61" t="n">
        <v>0.4285</v>
      </c>
      <c r="K6" s="62" t="n">
        <v>0.2181523773844018</v>
      </c>
      <c r="L6" s="63" t="n">
        <v>0.0126280240659604</v>
      </c>
      <c r="M6" s="48" t="n">
        <v>-0.105176221328569</v>
      </c>
      <c r="N6" s="48" t="n">
        <v>0.1604572518576549</v>
      </c>
      <c r="O6" s="64">
        <f>G6*F6*100</f>
        <v/>
      </c>
      <c r="P6" s="33">
        <f>IF(I6&gt;=Inputs!$B$9,"Likely opening","Ambiguous")</f>
        <v/>
      </c>
    </row>
    <row r="7">
      <c r="A7" s="43" t="inlineStr">
        <is>
          <t>NVDA</t>
        </is>
      </c>
      <c r="B7" s="29" t="inlineStr">
        <is>
          <t>Put</t>
        </is>
      </c>
      <c r="C7" s="53" t="n">
        <v>165</v>
      </c>
      <c r="D7" s="29" t="inlineStr">
        <is>
          <t>2026-09-18</t>
        </is>
      </c>
      <c r="E7" s="54" t="inlineStr">
        <is>
          <t>NVDA260918P00165000</t>
        </is>
      </c>
      <c r="F7" s="44" t="n">
        <v>3.94</v>
      </c>
      <c r="G7" s="45" t="n">
        <v>61200</v>
      </c>
      <c r="H7" s="45" t="n">
        <v>44800</v>
      </c>
      <c r="I7" s="32">
        <f>IFERROR(G7/H7,0)</f>
        <v/>
      </c>
      <c r="J7" s="55" t="n">
        <v>0.4344</v>
      </c>
      <c r="K7" s="56" t="n">
        <v>-0.2467085161892684</v>
      </c>
      <c r="L7" s="57" t="n">
        <v>0.01333912176786285</v>
      </c>
      <c r="M7" s="44" t="n">
        <v>-0.1044055357627571</v>
      </c>
      <c r="N7" s="44" t="n">
        <v>0.1718265128354093</v>
      </c>
      <c r="O7" s="58">
        <f>G7*F7*100</f>
        <v/>
      </c>
      <c r="P7" s="29">
        <f>IF(I7&gt;=Inputs!$B$9,"Likely opening","Ambiguous")</f>
        <v/>
      </c>
    </row>
    <row r="8">
      <c r="A8" s="34" t="inlineStr">
        <is>
          <t>AMD</t>
        </is>
      </c>
      <c r="B8" s="33" t="inlineStr">
        <is>
          <t>Call</t>
        </is>
      </c>
      <c r="C8" s="59" t="n">
        <v>175</v>
      </c>
      <c r="D8" s="33" t="inlineStr">
        <is>
          <t>2026-09-18</t>
        </is>
      </c>
      <c r="E8" s="60" t="inlineStr">
        <is>
          <t>AMD260918C00175000</t>
        </is>
      </c>
      <c r="F8" s="48" t="n">
        <v>5.12</v>
      </c>
      <c r="G8" s="49" t="n">
        <v>88600</v>
      </c>
      <c r="H8" s="49" t="n">
        <v>21400</v>
      </c>
      <c r="I8" s="36">
        <f>IFERROR(G8/H8,0)</f>
        <v/>
      </c>
      <c r="J8" s="61" t="n">
        <v>0.488</v>
      </c>
      <c r="K8" s="62" t="n">
        <v>0.350856375140995</v>
      </c>
      <c r="L8" s="63" t="n">
        <v>0.01528462434978618</v>
      </c>
      <c r="M8" s="48" t="n">
        <v>-0.1380586812893525</v>
      </c>
      <c r="N8" s="48" t="n">
        <v>0.1842621651276082</v>
      </c>
      <c r="O8" s="64">
        <f>G8*F8*100</f>
        <v/>
      </c>
      <c r="P8" s="33">
        <f>IF(I8&gt;=Inputs!$B$9,"Likely opening","Ambiguous")</f>
        <v/>
      </c>
    </row>
    <row r="9">
      <c r="A9" s="43" t="inlineStr">
        <is>
          <t>AMD</t>
        </is>
      </c>
      <c r="B9" s="29" t="inlineStr">
        <is>
          <t>Call</t>
        </is>
      </c>
      <c r="C9" s="53" t="n">
        <v>185</v>
      </c>
      <c r="D9" s="29" t="inlineStr">
        <is>
          <t>2026-09-18</t>
        </is>
      </c>
      <c r="E9" s="54" t="inlineStr">
        <is>
          <t>AMD260918C00185000</t>
        </is>
      </c>
      <c r="F9" s="44" t="n">
        <v>2.88</v>
      </c>
      <c r="G9" s="45" t="n">
        <v>74100</v>
      </c>
      <c r="H9" s="45" t="n">
        <v>68900</v>
      </c>
      <c r="I9" s="32">
        <f>IFERROR(G9/H9,0)</f>
        <v/>
      </c>
      <c r="J9" s="55" t="n">
        <v>0.5031</v>
      </c>
      <c r="K9" s="56" t="n">
        <v>0.2330384056655306</v>
      </c>
      <c r="L9" s="57" t="n">
        <v>0.0122324346003113</v>
      </c>
      <c r="M9" s="44" t="n">
        <v>-0.1163876218559166</v>
      </c>
      <c r="N9" s="44" t="n">
        <v>0.1520298259244588</v>
      </c>
      <c r="O9" s="58">
        <f>G9*F9*100</f>
        <v/>
      </c>
      <c r="P9" s="29">
        <f>IF(I9&gt;=Inputs!$B$9,"Likely opening","Ambiguous")</f>
        <v/>
      </c>
    </row>
    <row r="10">
      <c r="A10" s="34" t="inlineStr">
        <is>
          <t>PLTR</t>
        </is>
      </c>
      <c r="B10" s="33" t="inlineStr">
        <is>
          <t>Call</t>
        </is>
      </c>
      <c r="C10" s="59" t="n">
        <v>175</v>
      </c>
      <c r="D10" s="33" t="inlineStr">
        <is>
          <t>2026-09-18</t>
        </is>
      </c>
      <c r="E10" s="60" t="inlineStr">
        <is>
          <t>PLTR260918C00175000</t>
        </is>
      </c>
      <c r="F10" s="48" t="n">
        <v>4.36</v>
      </c>
      <c r="G10" s="49" t="n">
        <v>96400</v>
      </c>
      <c r="H10" s="49" t="n">
        <v>18200</v>
      </c>
      <c r="I10" s="36">
        <f>IFERROR(G10/H10,0)</f>
        <v/>
      </c>
      <c r="J10" s="61" t="n">
        <v>0.5612</v>
      </c>
      <c r="K10" s="62" t="n">
        <v>0.3129242252515906</v>
      </c>
      <c r="L10" s="63" t="n">
        <v>0.01308690120084485</v>
      </c>
      <c r="M10" s="48" t="n">
        <v>-0.1459964279080269</v>
      </c>
      <c r="N10" s="48" t="n">
        <v>0.1708518236977078</v>
      </c>
      <c r="O10" s="64">
        <f>G10*F10*100</f>
        <v/>
      </c>
      <c r="P10" s="33">
        <f>IF(I10&gt;=Inputs!$B$9,"Likely opening","Ambiguous")</f>
        <v/>
      </c>
    </row>
    <row r="11">
      <c r="A11" s="43" t="inlineStr">
        <is>
          <t>XLE</t>
        </is>
      </c>
      <c r="B11" s="29" t="inlineStr">
        <is>
          <t>Call</t>
        </is>
      </c>
      <c r="C11" s="53" t="n">
        <v>100</v>
      </c>
      <c r="D11" s="29" t="inlineStr">
        <is>
          <t>2026-09-18</t>
        </is>
      </c>
      <c r="E11" s="54" t="inlineStr">
        <is>
          <t>XLE260918C00100000</t>
        </is>
      </c>
      <c r="F11" s="44" t="n">
        <v>1.42</v>
      </c>
      <c r="G11" s="45" t="n">
        <v>52800</v>
      </c>
      <c r="H11" s="45" t="n">
        <v>9600</v>
      </c>
      <c r="I11" s="32">
        <f>IFERROR(G11/H11,0)</f>
        <v/>
      </c>
      <c r="J11" s="55" t="n">
        <v>0.3184</v>
      </c>
      <c r="K11" s="56" t="n">
        <v>0.297972176397642</v>
      </c>
      <c r="L11" s="57" t="n">
        <v>0.03787730758213483</v>
      </c>
      <c r="M11" s="44" t="n">
        <v>-0.04961492241138947</v>
      </c>
      <c r="N11" s="44" t="n">
        <v>0.09962385732790983</v>
      </c>
      <c r="O11" s="58">
        <f>G11*F11*100</f>
        <v/>
      </c>
      <c r="P11" s="29">
        <f>IF(I11&gt;=Inputs!$B$9,"Likely opening","Ambiguous")</f>
        <v/>
      </c>
    </row>
    <row r="12">
      <c r="A12" s="34" t="inlineStr">
        <is>
          <t>XLE</t>
        </is>
      </c>
      <c r="B12" s="33" t="inlineStr">
        <is>
          <t>Put</t>
        </is>
      </c>
      <c r="C12" s="59" t="n">
        <v>90</v>
      </c>
      <c r="D12" s="33" t="inlineStr">
        <is>
          <t>2026-09-18</t>
        </is>
      </c>
      <c r="E12" s="60" t="inlineStr">
        <is>
          <t>XLE260918P00090000</t>
        </is>
      </c>
      <c r="F12" s="48" t="n">
        <v>1.86</v>
      </c>
      <c r="G12" s="49" t="n">
        <v>21300</v>
      </c>
      <c r="H12" s="49" t="n">
        <v>28400</v>
      </c>
      <c r="I12" s="36">
        <f>IFERROR(G12/H12,0)</f>
        <v/>
      </c>
      <c r="J12" s="61" t="n">
        <v>0.326</v>
      </c>
      <c r="K12" s="62" t="n">
        <v>-0.2934470730216225</v>
      </c>
      <c r="L12" s="63" t="n">
        <v>0.03673503646081998</v>
      </c>
      <c r="M12" s="48" t="n">
        <v>-0.04411704044377667</v>
      </c>
      <c r="N12" s="48" t="n">
        <v>0.09892573113864302</v>
      </c>
      <c r="O12" s="64">
        <f>G12*F12*100</f>
        <v/>
      </c>
      <c r="P12" s="33">
        <f>IF(I12&gt;=Inputs!$B$9,"Likely opening","Ambiguous")</f>
        <v/>
      </c>
    </row>
    <row r="13">
      <c r="A13" s="43" t="inlineStr">
        <is>
          <t>COIN</t>
        </is>
      </c>
      <c r="B13" s="29" t="inlineStr">
        <is>
          <t>Call</t>
        </is>
      </c>
      <c r="C13" s="53" t="n">
        <v>340</v>
      </c>
      <c r="D13" s="29" t="inlineStr">
        <is>
          <t>2026-09-18</t>
        </is>
      </c>
      <c r="E13" s="54" t="inlineStr">
        <is>
          <t>COIN260918C00340000</t>
        </is>
      </c>
      <c r="F13" s="44" t="n">
        <v>9.74</v>
      </c>
      <c r="G13" s="45" t="n">
        <v>47900</v>
      </c>
      <c r="H13" s="45" t="n">
        <v>12800</v>
      </c>
      <c r="I13" s="32">
        <f>IFERROR(G13/H13,0)</f>
        <v/>
      </c>
      <c r="J13" s="55" t="n">
        <v>0.6108</v>
      </c>
      <c r="K13" s="56" t="n">
        <v>0.3670189945352371</v>
      </c>
      <c r="L13" s="57" t="n">
        <v>0.006465241130302315</v>
      </c>
      <c r="M13" s="44" t="n">
        <v>-0.333937475800302</v>
      </c>
      <c r="N13" s="44" t="n">
        <v>0.3590897977520513</v>
      </c>
      <c r="O13" s="58">
        <f>G13*F13*100</f>
        <v/>
      </c>
      <c r="P13" s="29">
        <f>IF(I13&gt;=Inputs!$B$9,"Likely opening","Ambiguous")</f>
        <v/>
      </c>
    </row>
    <row r="14">
      <c r="A14" s="34" t="inlineStr">
        <is>
          <t>MU</t>
        </is>
      </c>
      <c r="B14" s="33" t="inlineStr">
        <is>
          <t>Call</t>
        </is>
      </c>
      <c r="C14" s="59" t="n">
        <v>155</v>
      </c>
      <c r="D14" s="33" t="inlineStr">
        <is>
          <t>2026-09-18</t>
        </is>
      </c>
      <c r="E14" s="60" t="inlineStr">
        <is>
          <t>MU260918C00155000</t>
        </is>
      </c>
      <c r="F14" s="48" t="n">
        <v>4.02</v>
      </c>
      <c r="G14" s="49" t="n">
        <v>58600</v>
      </c>
      <c r="H14" s="49" t="n">
        <v>14100</v>
      </c>
      <c r="I14" s="36">
        <f>IFERROR(G14/H14,0)</f>
        <v/>
      </c>
      <c r="J14" s="61" t="n">
        <v>0.5024</v>
      </c>
      <c r="K14" s="62" t="n">
        <v>0.3240499813642946</v>
      </c>
      <c r="L14" s="63" t="n">
        <v>0.01647632645063478</v>
      </c>
      <c r="M14" s="48" t="n">
        <v>-0.1200421735930268</v>
      </c>
      <c r="N14" s="48" t="n">
        <v>0.1561150707612768</v>
      </c>
      <c r="O14" s="64">
        <f>G14*F14*100</f>
        <v/>
      </c>
      <c r="P14" s="33">
        <f>IF(I14&gt;=Inputs!$B$9,"Likely opening","Ambiguous")</f>
        <v/>
      </c>
    </row>
    <row r="15">
      <c r="A15" s="43" t="inlineStr">
        <is>
          <t>SPY</t>
        </is>
      </c>
      <c r="B15" s="29" t="inlineStr">
        <is>
          <t>Put</t>
        </is>
      </c>
      <c r="C15" s="53" t="n">
        <v>760</v>
      </c>
      <c r="D15" s="29" t="inlineStr">
        <is>
          <t>2026-09-18</t>
        </is>
      </c>
      <c r="E15" s="54" t="inlineStr">
        <is>
          <t>SPY260918P00760000</t>
        </is>
      </c>
      <c r="F15" s="44" t="n">
        <v>6.18</v>
      </c>
      <c r="G15" s="45" t="n">
        <v>214600</v>
      </c>
      <c r="H15" s="45" t="n">
        <v>188400</v>
      </c>
      <c r="I15" s="32">
        <f>IFERROR(G15/H15,0)</f>
        <v/>
      </c>
      <c r="J15" s="55" t="n">
        <v>0.1642</v>
      </c>
      <c r="K15" s="56" t="n">
        <v>-0.2995365466879008</v>
      </c>
      <c r="L15" s="57" t="n">
        <v>0.008930448315247025</v>
      </c>
      <c r="M15" s="44" t="n">
        <v>-0.1718190010681235</v>
      </c>
      <c r="N15" s="44" t="n">
        <v>0.8232588218629888</v>
      </c>
      <c r="O15" s="58">
        <f>G15*F15*100</f>
        <v/>
      </c>
      <c r="P15" s="29">
        <f>IF(I15&gt;=Inputs!$B$9,"Likely opening","Ambiguous")</f>
        <v/>
      </c>
    </row>
    <row r="16">
      <c r="A16" s="34" t="inlineStr">
        <is>
          <t>AAPL</t>
        </is>
      </c>
      <c r="B16" s="33" t="inlineStr">
        <is>
          <t>Call</t>
        </is>
      </c>
      <c r="C16" s="59" t="n">
        <v>260</v>
      </c>
      <c r="D16" s="33" t="inlineStr">
        <is>
          <t>2026-09-18</t>
        </is>
      </c>
      <c r="E16" s="60" t="inlineStr">
        <is>
          <t>AAPL260918C00260000</t>
        </is>
      </c>
      <c r="F16" s="48" t="n">
        <v>3.27</v>
      </c>
      <c r="G16" s="49" t="n">
        <v>102400</v>
      </c>
      <c r="H16" s="49" t="n">
        <v>96800</v>
      </c>
      <c r="I16" s="36">
        <f>IFERROR(G16/H16,0)</f>
        <v/>
      </c>
      <c r="J16" s="61" t="n">
        <v>0.2418</v>
      </c>
      <c r="K16" s="62" t="n">
        <v>0.2833329949742056</v>
      </c>
      <c r="L16" s="63" t="n">
        <v>0.01852698086749221</v>
      </c>
      <c r="M16" s="48" t="n">
        <v>-0.09850904025998554</v>
      </c>
      <c r="N16" s="48" t="n">
        <v>0.2558487870978364</v>
      </c>
      <c r="O16" s="64">
        <f>G16*F16*100</f>
        <v/>
      </c>
      <c r="P16" s="33">
        <f>IF(I16&gt;=Inputs!$B$9,"Likely opening","Ambiguous")</f>
        <v/>
      </c>
    </row>
    <row r="18" ht="28" customHeight="1">
      <c r="A18" s="8" t="inlineStr">
        <is>
          <t>Premium traded is contract volume times the last price times 100. It converts a contract count into a dollar figure, which is the only honest way to compare a 140,000-lot in a $2 option against a 9,000-lot in a $40 option.</t>
        </is>
      </c>
    </row>
    <row r="19"/>
    <row r="21">
      <c r="A21" s="18" t="inlineStr">
        <is>
          <t>MarketXLS Functions Used in This Sheet</t>
        </is>
      </c>
      <c r="B21" s="12" t="n"/>
      <c r="C21" s="12" t="n"/>
      <c r="D21" s="12" t="n"/>
      <c r="E21" s="12" t="n"/>
      <c r="F21" s="12" t="n"/>
      <c r="G21" s="12" t="n"/>
      <c r="H21" s="12" t="n"/>
    </row>
    <row r="22">
      <c r="A22" s="19">
        <f>OptionSymbol("NVDA","2026-09-18","Call",200)</f>
        <v/>
      </c>
      <c r="B22" s="12" t="n"/>
      <c r="C22" s="20" t="inlineStr">
        <is>
          <t>Builds the OCC contract symbol from the four inputs</t>
        </is>
      </c>
      <c r="D22" s="12" t="n"/>
      <c r="E22" s="12" t="n"/>
      <c r="F22" s="12" t="n"/>
      <c r="G22" s="12" t="n"/>
      <c r="H22" s="12" t="n"/>
    </row>
    <row r="23">
      <c r="A23" s="19">
        <f>Option_Volume(E5)</f>
        <v/>
      </c>
      <c r="B23" s="12" t="n"/>
      <c r="C23" s="20" t="inlineStr">
        <is>
          <t>Contract-level volume for that exact symbol</t>
        </is>
      </c>
      <c r="D23" s="12" t="n"/>
      <c r="E23" s="12" t="n"/>
      <c r="F23" s="12" t="n"/>
      <c r="G23" s="12" t="n"/>
      <c r="H23" s="12" t="n"/>
    </row>
    <row r="24">
      <c r="A24" s="19">
        <f>Option_OpenInterest(E5)</f>
        <v/>
      </c>
      <c r="B24" s="12" t="n"/>
      <c r="C24" s="20" t="inlineStr">
        <is>
          <t>Contract-level open interest for that exact symbol</t>
        </is>
      </c>
      <c r="D24" s="12" t="n"/>
      <c r="E24" s="12" t="n"/>
      <c r="F24" s="12" t="n"/>
      <c r="G24" s="12" t="n"/>
      <c r="H24" s="12" t="n"/>
    </row>
    <row r="25">
      <c r="A25" s="19">
        <f>Option_Last_Price(E5)</f>
        <v/>
      </c>
      <c r="B25" s="12" t="n"/>
      <c r="C25" s="20" t="inlineStr">
        <is>
          <t>Last traded price of the contract</t>
        </is>
      </c>
      <c r="D25" s="12" t="n"/>
      <c r="E25" s="12" t="n"/>
      <c r="F25" s="12" t="n"/>
      <c r="G25" s="12" t="n"/>
      <c r="H25" s="12" t="n"/>
    </row>
    <row r="26">
      <c r="A26" s="19">
        <f>Option_Bid(E5)  /  =Option_Ask(E5)</f>
        <v/>
      </c>
      <c r="B26" s="12" t="n"/>
      <c r="C26" s="20" t="inlineStr">
        <is>
          <t>Bid and ask, for the spread you would actually pay</t>
        </is>
      </c>
      <c r="D26" s="12" t="n"/>
      <c r="E26" s="12" t="n"/>
      <c r="F26" s="12" t="n"/>
      <c r="G26" s="12" t="n"/>
      <c r="H26" s="12" t="n"/>
    </row>
    <row r="27">
      <c r="A27" s="19">
        <f>opt_Delta(QM_Last(A5),F5,D5,B5,C5)</f>
        <v/>
      </c>
      <c r="B27" s="12" t="n"/>
      <c r="C27" s="20" t="inlineStr">
        <is>
          <t>Delta from spot, contract price, expiry, type and strike</t>
        </is>
      </c>
      <c r="D27" s="12" t="n"/>
      <c r="E27" s="12" t="n"/>
      <c r="F27" s="12" t="n"/>
      <c r="G27" s="12" t="n"/>
      <c r="H27" s="12" t="n"/>
    </row>
    <row r="28">
      <c r="A28" s="19">
        <f>opt_Gamma(...)  =opt_Theta(...)  =opt_Vega(...)</f>
        <v/>
      </c>
      <c r="B28" s="12" t="n"/>
      <c r="C28" s="20" t="inlineStr">
        <is>
          <t>The remaining Greeks, same argument order</t>
        </is>
      </c>
      <c r="D28" s="12" t="n"/>
      <c r="E28" s="12" t="n"/>
      <c r="F28" s="12" t="n"/>
      <c r="G28" s="12" t="n"/>
      <c r="H28" s="12" t="n"/>
    </row>
    <row r="29">
      <c r="A29" s="19">
        <f>opt_ImpliedVolatility(QM_Last(A5),F5,D5,B5,C5)</f>
        <v/>
      </c>
      <c r="B29" s="12" t="n"/>
      <c r="C29" s="20" t="inlineStr">
        <is>
          <t>Implied volatility backed out of the contract price</t>
        </is>
      </c>
      <c r="D29" s="12" t="n"/>
      <c r="E29" s="12" t="n"/>
      <c r="F29" s="12" t="n"/>
      <c r="G29" s="12" t="n"/>
      <c r="H29" s="12" t="n"/>
    </row>
    <row r="30">
      <c r="A30" s="19">
        <f>TopOptionsByVolume("NVDA",20)</f>
        <v/>
      </c>
      <c r="B30" s="12" t="n"/>
      <c r="C30" s="20" t="inlineStr">
        <is>
          <t>The 20 busiest contracts in one name</t>
        </is>
      </c>
      <c r="D30" s="12" t="n"/>
      <c r="E30" s="12" t="n"/>
      <c r="F30" s="12" t="n"/>
      <c r="G30" s="12" t="n"/>
      <c r="H30" s="12" t="n"/>
    </row>
    <row r="31">
      <c r="A31" s="19">
        <f>TopOptionsByOpenInterest("NVDA",20)</f>
        <v/>
      </c>
      <c r="B31" s="12" t="n"/>
      <c r="C31" s="20" t="inlineStr">
        <is>
          <t>The 20 largest open-interest contracts in one name</t>
        </is>
      </c>
      <c r="D31" s="12" t="n"/>
      <c r="E31" s="12" t="n"/>
      <c r="F31" s="12" t="n"/>
      <c r="G31" s="12" t="n"/>
      <c r="H31" s="12" t="n"/>
    </row>
    <row r="32">
      <c r="A32" s="19">
        <f>ExpirationNext("NVDA",1)</f>
        <v/>
      </c>
      <c r="B32" s="12" t="n"/>
      <c r="C32" s="20" t="inlineStr">
        <is>
          <t>Next listed expiration date for the underlying</t>
        </is>
      </c>
      <c r="D32" s="12" t="n"/>
      <c r="E32" s="12" t="n"/>
      <c r="F32" s="12" t="n"/>
      <c r="G32" s="12" t="n"/>
      <c r="H32" s="12" t="n"/>
    </row>
    <row r="34">
      <c r="A34" s="21" t="inlineStr">
        <is>
          <t>MarketXLS: https://marketxls.com    |    Book a demo: https://marketxls.com/book-demo</t>
        </is>
      </c>
    </row>
  </sheetData>
  <mergeCells count="27">
    <mergeCell ref="C25:H25"/>
    <mergeCell ref="A24:B24"/>
    <mergeCell ref="A30:B30"/>
    <mergeCell ref="C22:H22"/>
    <mergeCell ref="C31:H31"/>
    <mergeCell ref="A25:B25"/>
    <mergeCell ref="C27:H27"/>
    <mergeCell ref="C23:H23"/>
    <mergeCell ref="A27:B27"/>
    <mergeCell ref="A26:B26"/>
    <mergeCell ref="C32:H32"/>
    <mergeCell ref="A21:H21"/>
    <mergeCell ref="A18:P19"/>
    <mergeCell ref="C28:H28"/>
    <mergeCell ref="A1:P1"/>
    <mergeCell ref="A32:B32"/>
    <mergeCell ref="A23:B23"/>
    <mergeCell ref="C30:H30"/>
    <mergeCell ref="A22:B22"/>
    <mergeCell ref="C24:H24"/>
    <mergeCell ref="A29:B29"/>
    <mergeCell ref="A34:H34"/>
    <mergeCell ref="A28:B28"/>
    <mergeCell ref="C26:H26"/>
    <mergeCell ref="A31:B31"/>
    <mergeCell ref="C29:H29"/>
    <mergeCell ref="A2:P2"/>
  </mergeCells>
  <conditionalFormatting sqref="I5:I16">
    <cfRule type="dataBar" priority="1">
      <dataBar>
        <cfvo type="num" val="0"/>
        <cfvo type="num" val="5"/>
        <color rgb="00F59E0B"/>
      </dataBar>
    </cfRule>
  </conditionalFormatting>
  <conditionalFormatting sqref="O5:O16">
    <cfRule type="colorScale" priority="2">
      <colorScale>
        <cfvo type="min"/>
        <cfvo type="max"/>
        <color rgb="00FFFFFF"/>
        <color rgb="00BFD8F2"/>
      </colorScale>
    </cfRule>
  </conditionalFormatting>
  <pageMargins left="0.75" right="0.75" top="1" bottom="1" header="0.5" footer="0.5"/>
</worksheet>
</file>

<file path=xl/worksheets/sheet6.xml><?xml version="1.0" encoding="utf-8"?>
<worksheet xmlns="http://schemas.openxmlformats.org/spreadsheetml/2006/main">
  <sheetPr>
    <tabColor rgb="000E7C66"/>
    <outlinePr summaryBelow="1" summaryRight="1"/>
    <pageSetUpPr/>
  </sheetPr>
  <dimension ref="A1:H138"/>
  <sheetViews>
    <sheetView showGridLines="0" workbookViewId="0">
      <pane ySplit="3" topLeftCell="A4" activePane="bottomLeft" state="frozen"/>
      <selection pane="bottomLeft" activeCell="A1" sqref="A1"/>
    </sheetView>
  </sheetViews>
  <sheetFormatPr baseColWidth="8" defaultRowHeight="15"/>
  <cols>
    <col width="46" customWidth="1" min="1" max="1"/>
    <col width="16" customWidth="1" min="2" max="2"/>
    <col width="16" customWidth="1" min="3" max="3"/>
    <col width="16" customWidth="1" min="4" max="4"/>
    <col width="16" customWidth="1" min="5" max="5"/>
    <col width="20" customWidth="1" min="6" max="6"/>
    <col width="20" customWidth="1" min="7" max="7"/>
    <col width="20" customWidth="1" min="8" max="8"/>
  </cols>
  <sheetData>
    <row r="1" ht="30" customHeight="1">
      <c r="A1" s="6" t="inlineStr">
        <is>
          <t>Market Scans</t>
        </is>
      </c>
    </row>
    <row r="2">
      <c r="A2" s="7" t="inlineStr">
        <is>
          <t>Market-wide unusual activity, for the sessions when your own watchlist is quiet.</t>
        </is>
      </c>
    </row>
    <row r="4">
      <c r="A4" s="16" t="inlineStr">
        <is>
          <t>Unusual stock options activity, whole market</t>
        </is>
      </c>
    </row>
    <row r="5" ht="20" customHeight="1">
      <c r="A5" s="8" t="inlineStr">
        <is>
          <t>Ranks underlyings by how far options activity sits above their own normal level.</t>
        </is>
      </c>
    </row>
    <row r="6">
      <c r="A6" s="65" t="inlineStr">
        <is>
          <t>Formula: =opt_UnusualStockOptionsActivity(15)</t>
        </is>
      </c>
      <c r="B6" s="66" t="n"/>
      <c r="C6" s="66" t="n"/>
      <c r="D6" s="67" t="n"/>
      <c r="E6" s="21" t="inlineStr">
        <is>
          <t>Live edition returns a spilled table here</t>
        </is>
      </c>
    </row>
    <row r="19">
      <c r="A19" s="16" t="inlineStr">
        <is>
          <t>Unusual option volume scan, end of day</t>
        </is>
      </c>
    </row>
    <row r="20" ht="20" customHeight="1">
      <c r="A20" s="8" t="inlineStr">
        <is>
          <t>Contract-level volume outliers from the official end-of-day file.</t>
        </is>
      </c>
    </row>
    <row r="21">
      <c r="A21" s="65" t="inlineStr">
        <is>
          <t>Formula: =opt_UnusualOptionVolScanEOD(15)</t>
        </is>
      </c>
      <c r="B21" s="66" t="n"/>
      <c r="C21" s="66" t="n"/>
      <c r="D21" s="67" t="n"/>
      <c r="E21" s="21" t="inlineStr">
        <is>
          <t>Live edition returns a spilled table here</t>
        </is>
      </c>
    </row>
    <row r="34">
      <c r="A34" s="16" t="inlineStr">
        <is>
          <t>Unusual option open interest scan, end of day</t>
        </is>
      </c>
    </row>
    <row r="35" ht="20" customHeight="1">
      <c r="A35" s="8" t="inlineStr">
        <is>
          <t>Open-interest outliers. Confirms whether yesterday's volume actually became a position.</t>
        </is>
      </c>
    </row>
    <row r="36">
      <c r="A36" s="65" t="inlineStr">
        <is>
          <t>Formula: =opt_UnusualOptionOIScanEOD(15)</t>
        </is>
      </c>
      <c r="B36" s="66" t="n"/>
      <c r="C36" s="66" t="n"/>
      <c r="D36" s="67" t="n"/>
      <c r="E36" s="21" t="inlineStr">
        <is>
          <t>Live edition returns a spilled table here</t>
        </is>
      </c>
    </row>
    <row r="49">
      <c r="A49" s="16" t="inlineStr">
        <is>
          <t>Unusual volume against open interest, end of day</t>
        </is>
      </c>
    </row>
    <row r="50" ht="20" customHeight="1">
      <c r="A50" s="8" t="inlineStr">
        <is>
          <t>The combined screen. This is the closest single call to the workbook's own score.</t>
        </is>
      </c>
    </row>
    <row r="51">
      <c r="A51" s="65" t="inlineStr">
        <is>
          <t>Formula: =opt_UnusualOptionVolOIScanEOD(15)</t>
        </is>
      </c>
      <c r="B51" s="66" t="n"/>
      <c r="C51" s="66" t="n"/>
      <c r="D51" s="67" t="n"/>
      <c r="E51" s="21" t="inlineStr">
        <is>
          <t>Live edition returns a spilled table here</t>
        </is>
      </c>
    </row>
    <row r="64">
      <c r="A64" s="16" t="inlineStr">
        <is>
          <t>Options volume leaders</t>
        </is>
      </c>
    </row>
    <row r="65" ht="20" customHeight="1">
      <c r="A65" s="8" t="inlineStr">
        <is>
          <t>Raw volume leaders. Useful as a liquidity check, weak as a signal on its own.</t>
        </is>
      </c>
    </row>
    <row r="66">
      <c r="A66" s="65" t="inlineStr">
        <is>
          <t>Formula: =opt_OptionsVolumeLeaders(10)</t>
        </is>
      </c>
      <c r="B66" s="66" t="n"/>
      <c r="C66" s="66" t="n"/>
      <c r="D66" s="67" t="n"/>
      <c r="E66" s="21" t="inlineStr">
        <is>
          <t>Live edition returns a spilled table here</t>
        </is>
      </c>
    </row>
    <row r="79">
      <c r="A79" s="16" t="inlineStr">
        <is>
          <t>Change in options volume leaders</t>
        </is>
      </c>
    </row>
    <row r="80" ht="20" customHeight="1">
      <c r="A80" s="8" t="inlineStr">
        <is>
          <t>Largest day-over-day changes in options volume.</t>
        </is>
      </c>
    </row>
    <row r="81">
      <c r="A81" s="65" t="inlineStr">
        <is>
          <t>Formula: =opt_OptionsChangeInVolumeLeaders(10)</t>
        </is>
      </c>
      <c r="B81" s="66" t="n"/>
      <c r="C81" s="66" t="n"/>
      <c r="D81" s="67" t="n"/>
      <c r="E81" s="21" t="inlineStr">
        <is>
          <t>Live edition returns a spilled table here</t>
        </is>
      </c>
    </row>
    <row r="94">
      <c r="A94" s="16" t="inlineStr">
        <is>
          <t>Open interest leaders</t>
        </is>
      </c>
    </row>
    <row r="95" ht="20" customHeight="1">
      <c r="A95" s="8" t="inlineStr">
        <is>
          <t>Largest standing positions across the market.</t>
        </is>
      </c>
    </row>
    <row r="96">
      <c r="A96" s="65" t="inlineStr">
        <is>
          <t>Formula: =opt_OptionsOILeaders(10)</t>
        </is>
      </c>
      <c r="B96" s="66" t="n"/>
      <c r="C96" s="66" t="n"/>
      <c r="D96" s="67" t="n"/>
      <c r="E96" s="21" t="inlineStr">
        <is>
          <t>Live edition returns a spilled table here</t>
        </is>
      </c>
    </row>
    <row r="109">
      <c r="A109" s="16" t="inlineStr">
        <is>
          <t>Change in open interest leaders</t>
        </is>
      </c>
    </row>
    <row r="110" ht="20" customHeight="1">
      <c r="A110" s="8" t="inlineStr">
        <is>
          <t>Largest day-over-day open-interest builds. The morning-after confirmation.</t>
        </is>
      </c>
    </row>
    <row r="111">
      <c r="A111" s="65" t="inlineStr">
        <is>
          <t>Formula: =opt_OptionsChangeInOILeaders(10)</t>
        </is>
      </c>
      <c r="B111" s="66" t="n"/>
      <c r="C111" s="66" t="n"/>
      <c r="D111" s="67" t="n"/>
      <c r="E111" s="21" t="inlineStr">
        <is>
          <t>Live edition returns a spilled table here</t>
        </is>
      </c>
    </row>
    <row r="124">
      <c r="A124" s="21" t="inlineStr">
        <is>
          <t>Each of these functions returns a table that spills down and to the right. Leave the rows beneath each formula empty or Excel returns a spill error.</t>
        </is>
      </c>
    </row>
    <row r="126">
      <c r="A126" s="18" t="inlineStr">
        <is>
          <t>MarketXLS Functions Used in This Sheet</t>
        </is>
      </c>
      <c r="B126" s="12" t="n"/>
      <c r="C126" s="12" t="n"/>
      <c r="D126" s="12" t="n"/>
      <c r="E126" s="12" t="n"/>
      <c r="F126" s="12" t="n"/>
      <c r="G126" s="12" t="n"/>
      <c r="H126" s="12" t="n"/>
    </row>
    <row r="127">
      <c r="A127" s="19">
        <f>opt_UnusualStockOptionsActivity(15)</f>
        <v/>
      </c>
      <c r="B127" s="12" t="n"/>
      <c r="C127" s="20" t="inlineStr">
        <is>
          <t>Whole-market unusual activity, ranked</t>
        </is>
      </c>
      <c r="D127" s="12" t="n"/>
      <c r="E127" s="12" t="n"/>
      <c r="F127" s="12" t="n"/>
      <c r="G127" s="12" t="n"/>
      <c r="H127" s="12" t="n"/>
    </row>
    <row r="128">
      <c r="A128" s="19">
        <f>opt_UnusualOptionVolScanEOD(15)</f>
        <v/>
      </c>
      <c r="B128" s="12" t="n"/>
      <c r="C128" s="20" t="inlineStr">
        <is>
          <t>End-of-day contract volume outliers</t>
        </is>
      </c>
      <c r="D128" s="12" t="n"/>
      <c r="E128" s="12" t="n"/>
      <c r="F128" s="12" t="n"/>
      <c r="G128" s="12" t="n"/>
      <c r="H128" s="12" t="n"/>
    </row>
    <row r="129">
      <c r="A129" s="19">
        <f>opt_UnusualOptionOIScanEOD(15)</f>
        <v/>
      </c>
      <c r="B129" s="12" t="n"/>
      <c r="C129" s="20" t="inlineStr">
        <is>
          <t>End-of-day open interest outliers</t>
        </is>
      </c>
      <c r="D129" s="12" t="n"/>
      <c r="E129" s="12" t="n"/>
      <c r="F129" s="12" t="n"/>
      <c r="G129" s="12" t="n"/>
      <c r="H129" s="12" t="n"/>
    </row>
    <row r="130">
      <c r="A130" s="19">
        <f>opt_UnusualOptionVolOIScanEOD(15)</f>
        <v/>
      </c>
      <c r="B130" s="12" t="n"/>
      <c r="C130" s="20" t="inlineStr">
        <is>
          <t>End-of-day volume against open interest outliers</t>
        </is>
      </c>
      <c r="D130" s="12" t="n"/>
      <c r="E130" s="12" t="n"/>
      <c r="F130" s="12" t="n"/>
      <c r="G130" s="12" t="n"/>
      <c r="H130" s="12" t="n"/>
    </row>
    <row r="131">
      <c r="A131" s="19">
        <f>opt_OptionsVolumeLeaders(10)</f>
        <v/>
      </c>
      <c r="B131" s="12" t="n"/>
      <c r="C131" s="20" t="inlineStr">
        <is>
          <t>Raw options volume leaders</t>
        </is>
      </c>
      <c r="D131" s="12" t="n"/>
      <c r="E131" s="12" t="n"/>
      <c r="F131" s="12" t="n"/>
      <c r="G131" s="12" t="n"/>
      <c r="H131" s="12" t="n"/>
    </row>
    <row r="132">
      <c r="A132" s="19">
        <f>opt_OptionsChangeInVolumeLeaders(10)</f>
        <v/>
      </c>
      <c r="B132" s="12" t="n"/>
      <c r="C132" s="20" t="inlineStr">
        <is>
          <t>Largest day-over-day volume changes</t>
        </is>
      </c>
      <c r="D132" s="12" t="n"/>
      <c r="E132" s="12" t="n"/>
      <c r="F132" s="12" t="n"/>
      <c r="G132" s="12" t="n"/>
      <c r="H132" s="12" t="n"/>
    </row>
    <row r="133">
      <c r="A133" s="19">
        <f>opt_OptionsOILeaders(10)</f>
        <v/>
      </c>
      <c r="B133" s="12" t="n"/>
      <c r="C133" s="20" t="inlineStr">
        <is>
          <t>Largest standing open interest</t>
        </is>
      </c>
      <c r="D133" s="12" t="n"/>
      <c r="E133" s="12" t="n"/>
      <c r="F133" s="12" t="n"/>
      <c r="G133" s="12" t="n"/>
      <c r="H133" s="12" t="n"/>
    </row>
    <row r="134">
      <c r="A134" s="19">
        <f>opt_OptionsChangeInOILeaders(10)</f>
        <v/>
      </c>
      <c r="B134" s="12" t="n"/>
      <c r="C134" s="20" t="inlineStr">
        <is>
          <t>Largest day-over-day open interest builds</t>
        </is>
      </c>
      <c r="D134" s="12" t="n"/>
      <c r="E134" s="12" t="n"/>
      <c r="F134" s="12" t="n"/>
      <c r="G134" s="12" t="n"/>
      <c r="H134" s="12" t="n"/>
    </row>
    <row r="135">
      <c r="A135" s="19">
        <f>QM_GetOptionMarketStats("NVDA")</f>
        <v/>
      </c>
      <c r="B135" s="12" t="n"/>
      <c r="C135" s="20" t="inlineStr">
        <is>
          <t>Option market statistics for one underlying</t>
        </is>
      </c>
      <c r="D135" s="12" t="n"/>
      <c r="E135" s="12" t="n"/>
      <c r="F135" s="12" t="n"/>
      <c r="G135" s="12" t="n"/>
      <c r="H135" s="12" t="n"/>
    </row>
    <row r="136">
      <c r="A136" s="19">
        <f>QM_GetRecentOptionStats("NVDA")</f>
        <v/>
      </c>
      <c r="B136" s="12" t="n"/>
      <c r="C136" s="20" t="inlineStr">
        <is>
          <t>Recent option statistics for one underlying</t>
        </is>
      </c>
      <c r="D136" s="12" t="n"/>
      <c r="E136" s="12" t="n"/>
      <c r="F136" s="12" t="n"/>
      <c r="G136" s="12" t="n"/>
      <c r="H136" s="12" t="n"/>
    </row>
    <row r="138">
      <c r="A138" s="21" t="inlineStr">
        <is>
          <t>MarketXLS: https://marketxls.com    |    Book a demo: https://marketxls.com/book-demo</t>
        </is>
      </c>
    </row>
  </sheetData>
  <mergeCells count="57">
    <mergeCell ref="A130:B130"/>
    <mergeCell ref="C134:H134"/>
    <mergeCell ref="A138:H138"/>
    <mergeCell ref="A64:H64"/>
    <mergeCell ref="A96:D96"/>
    <mergeCell ref="C133:H133"/>
    <mergeCell ref="C127:H127"/>
    <mergeCell ref="A49:H49"/>
    <mergeCell ref="A81:D81"/>
    <mergeCell ref="C129:H129"/>
    <mergeCell ref="A1:H1"/>
    <mergeCell ref="A94:H94"/>
    <mergeCell ref="E81:H81"/>
    <mergeCell ref="A79:H79"/>
    <mergeCell ref="A110:H110"/>
    <mergeCell ref="A132:B132"/>
    <mergeCell ref="A111:D111"/>
    <mergeCell ref="C130:H130"/>
    <mergeCell ref="E66:H66"/>
    <mergeCell ref="A124:H124"/>
    <mergeCell ref="A65:H65"/>
    <mergeCell ref="A128:B128"/>
    <mergeCell ref="C132:H132"/>
    <mergeCell ref="E96:H96"/>
    <mergeCell ref="E21:H21"/>
    <mergeCell ref="A133:B133"/>
    <mergeCell ref="C135:H135"/>
    <mergeCell ref="A51:D51"/>
    <mergeCell ref="A80:H80"/>
    <mergeCell ref="E111:H111"/>
    <mergeCell ref="A136:B136"/>
    <mergeCell ref="A36:D36"/>
    <mergeCell ref="A50:H50"/>
    <mergeCell ref="A6:D6"/>
    <mergeCell ref="A95:H95"/>
    <mergeCell ref="A129:B129"/>
    <mergeCell ref="A2:H2"/>
    <mergeCell ref="C131:H131"/>
    <mergeCell ref="E51:H51"/>
    <mergeCell ref="C136:H136"/>
    <mergeCell ref="A135:B135"/>
    <mergeCell ref="A5:H5"/>
    <mergeCell ref="A126:H126"/>
    <mergeCell ref="A66:D66"/>
    <mergeCell ref="A131:B131"/>
    <mergeCell ref="A4:H4"/>
    <mergeCell ref="A109:H109"/>
    <mergeCell ref="A35:H35"/>
    <mergeCell ref="A34:H34"/>
    <mergeCell ref="A134:B134"/>
    <mergeCell ref="A20:H20"/>
    <mergeCell ref="A21:D21"/>
    <mergeCell ref="E6:H6"/>
    <mergeCell ref="C128:H128"/>
    <mergeCell ref="A19:H19"/>
    <mergeCell ref="A127:B127"/>
    <mergeCell ref="E36:H36"/>
  </mergeCells>
  <pageMargins left="0.75" right="0.75" top="1" bottom="1" header="0.5" footer="0.5"/>
</worksheet>
</file>

<file path=xl/worksheets/sheet7.xml><?xml version="1.0" encoding="utf-8"?>
<worksheet xmlns="http://schemas.openxmlformats.org/spreadsheetml/2006/main">
  <sheetPr>
    <tabColor rgb="00F59E0B"/>
    <outlinePr summaryBelow="1" summaryRight="1"/>
    <pageSetUpPr/>
  </sheetPr>
  <dimension ref="A1:F24"/>
  <sheetViews>
    <sheetView showGridLines="0" workbookViewId="0">
      <pane ySplit="4" topLeftCell="A5" activePane="bottomLeft" state="frozen"/>
      <selection pane="bottomLeft" activeCell="A1" sqref="A1"/>
    </sheetView>
  </sheetViews>
  <sheetFormatPr baseColWidth="8" defaultRowHeight="15"/>
  <cols>
    <col width="26" customWidth="1" min="1" max="1"/>
    <col width="16" customWidth="1" min="2" max="2"/>
    <col width="16" customWidth="1" min="3" max="3"/>
    <col width="18" customWidth="1" min="4" max="4"/>
    <col width="18" customWidth="1" min="5" max="5"/>
    <col width="46" customWidth="1" min="6" max="6"/>
  </cols>
  <sheetData>
    <row r="1" ht="30" customHeight="1">
      <c r="A1" s="6" t="inlineStr">
        <is>
          <t>Threshold Scenarios</t>
        </is>
      </c>
    </row>
    <row r="2">
      <c r="A2" s="7" t="inlineStr">
        <is>
          <t>How many names survive at each threshold pair. A scanner that flags everything flags nothing.</t>
        </is>
      </c>
    </row>
    <row r="4" ht="30" customHeight="1">
      <c r="A4" s="9" t="inlineStr">
        <is>
          <t>Scenario</t>
        </is>
      </c>
      <c r="B4" s="9" t="inlineStr">
        <is>
          <t>Rel Vol min</t>
        </is>
      </c>
      <c r="C4" s="9" t="inlineStr">
        <is>
          <t>Vol/OI min</t>
        </is>
      </c>
      <c r="D4" s="9" t="inlineStr">
        <is>
          <t>Names passing</t>
        </is>
      </c>
      <c r="E4" s="9" t="inlineStr">
        <is>
          <t>% of watchlist</t>
        </is>
      </c>
      <c r="F4" s="9" t="inlineStr">
        <is>
          <t>What this setting is useful for</t>
        </is>
      </c>
    </row>
    <row r="5" ht="30" customHeight="1">
      <c r="A5" s="68" t="inlineStr">
        <is>
          <t>Everything</t>
        </is>
      </c>
      <c r="B5" s="25" t="n">
        <v>1</v>
      </c>
      <c r="C5" s="25" t="n">
        <v>0</v>
      </c>
      <c r="D5" s="69">
        <f>COUNTIFS('Flow Scanner'!$G$9:$G$20,"&gt;="&amp;B5,'Flow Scanner'!$I$9:$I$20,"&gt;="&amp;C5)</f>
        <v/>
      </c>
      <c r="E5" s="70">
        <f>IFERROR(D5/12,0)</f>
        <v/>
      </c>
      <c r="F5" s="11" t="inlineStr">
        <is>
          <t>Sanity check only. Confirms the data is arriving.</t>
        </is>
      </c>
    </row>
    <row r="6" ht="30" customHeight="1">
      <c r="A6" s="71" t="inlineStr">
        <is>
          <t>Loose</t>
        </is>
      </c>
      <c r="B6" s="72" t="n">
        <v>1.5</v>
      </c>
      <c r="C6" s="72" t="n">
        <v>0.06</v>
      </c>
      <c r="D6" s="73">
        <f>COUNTIFS('Flow Scanner'!$G$9:$G$20,"&gt;="&amp;B6,'Flow Scanner'!$I$9:$I$20,"&gt;="&amp;C6)</f>
        <v/>
      </c>
      <c r="E6" s="74">
        <f>IFERROR(D6/12,0)</f>
        <v/>
      </c>
      <c r="F6" s="14" t="inlineStr">
        <is>
          <t>Too many flags to research. Useful for building a history file.</t>
        </is>
      </c>
    </row>
    <row r="7" ht="30" customHeight="1">
      <c r="A7" s="68" t="inlineStr">
        <is>
          <t>Moderate</t>
        </is>
      </c>
      <c r="B7" s="25" t="n">
        <v>2</v>
      </c>
      <c r="C7" s="25" t="n">
        <v>0.09</v>
      </c>
      <c r="D7" s="69">
        <f>COUNTIFS('Flow Scanner'!$G$9:$G$20,"&gt;="&amp;B7,'Flow Scanner'!$I$9:$I$20,"&gt;="&amp;C7)</f>
        <v/>
      </c>
      <c r="E7" s="70">
        <f>IFERROR(D7/12,0)</f>
        <v/>
      </c>
      <c r="F7" s="11" t="inlineStr">
        <is>
          <t>A realistic daily reading list for a single analyst.</t>
        </is>
      </c>
    </row>
    <row r="8" ht="30" customHeight="1">
      <c r="A8" s="71" t="inlineStr">
        <is>
          <t>Standard</t>
        </is>
      </c>
      <c r="B8" s="72" t="n">
        <v>3</v>
      </c>
      <c r="C8" s="72" t="n">
        <v>0.12</v>
      </c>
      <c r="D8" s="73">
        <f>COUNTIFS('Flow Scanner'!$G$9:$G$20,"&gt;="&amp;B8,'Flow Scanner'!$I$9:$I$20,"&gt;="&amp;C8)</f>
        <v/>
      </c>
      <c r="E8" s="74">
        <f>IFERROR(D8/12,0)</f>
        <v/>
      </c>
      <c r="F8" s="14" t="inlineStr">
        <is>
          <t>The workbook default. Roughly a handful of names per session.</t>
        </is>
      </c>
    </row>
    <row r="9" ht="30" customHeight="1">
      <c r="A9" s="68" t="inlineStr">
        <is>
          <t>Tight</t>
        </is>
      </c>
      <c r="B9" s="25" t="n">
        <v>3.5</v>
      </c>
      <c r="C9" s="25" t="n">
        <v>0.13</v>
      </c>
      <c r="D9" s="69">
        <f>COUNTIFS('Flow Scanner'!$G$9:$G$20,"&gt;="&amp;B9,'Flow Scanner'!$I$9:$I$20,"&gt;="&amp;C9)</f>
        <v/>
      </c>
      <c r="E9" s="70">
        <f>IFERROR(D9/12,0)</f>
        <v/>
      </c>
      <c r="F9" s="11" t="inlineStr">
        <is>
          <t>Chains turning over a meaningful slice of their own open interest.</t>
        </is>
      </c>
    </row>
    <row r="10" ht="30" customHeight="1">
      <c r="A10" s="71" t="inlineStr">
        <is>
          <t>Very tight</t>
        </is>
      </c>
      <c r="B10" s="72" t="n">
        <v>4</v>
      </c>
      <c r="C10" s="72" t="n">
        <v>0.14</v>
      </c>
      <c r="D10" s="73">
        <f>COUNTIFS('Flow Scanner'!$G$9:$G$20,"&gt;="&amp;B10,'Flow Scanner'!$I$9:$I$20,"&gt;="&amp;C10)</f>
        <v/>
      </c>
      <c r="E10" s="74">
        <f>IFERROR(D10/12,0)</f>
        <v/>
      </c>
      <c r="F10" s="14" t="inlineStr">
        <is>
          <t>Rare at the whole-chain level. Usually an index or a single event.</t>
        </is>
      </c>
    </row>
    <row r="11" ht="30" customHeight="1">
      <c r="A11" s="68" t="inlineStr">
        <is>
          <t>Extreme</t>
        </is>
      </c>
      <c r="B11" s="25" t="n">
        <v>5</v>
      </c>
      <c r="C11" s="25" t="n">
        <v>0.2</v>
      </c>
      <c r="D11" s="69">
        <f>COUNTIFS('Flow Scanner'!$G$9:$G$20,"&gt;="&amp;B11,'Flow Scanner'!$I$9:$I$20,"&gt;="&amp;C11)</f>
        <v/>
      </c>
      <c r="E11" s="70">
        <f>IFERROR(D11/12,0)</f>
        <v/>
      </c>
      <c r="F11" s="11" t="inlineStr">
        <is>
          <t>Fires a few times a quarter. Usually an event, not a signal.</t>
        </is>
      </c>
    </row>
    <row r="13">
      <c r="A13" s="16" t="inlineStr">
        <is>
          <t>Why the count matters more than the score</t>
        </is>
      </c>
    </row>
    <row r="14">
      <c r="A14" s="8" t="inlineStr">
        <is>
          <t>A composite score is only useful if it separates a small group from a large one. If the Standard row returns nine of twelve names, the thresholds are doing no work and the score is measuring market-wide volume, not anything specific. If the Extreme row returns zero on most days, that is the correct behaviour. Set the live thresholds on the Inputs sheet to whichever row here returns a count you can genuinely research before the next session.</t>
        </is>
      </c>
    </row>
    <row r="15"/>
    <row r="16"/>
    <row r="17"/>
    <row r="19">
      <c r="A19" s="18" t="inlineStr">
        <is>
          <t>MarketXLS Functions Used in This Sheet</t>
        </is>
      </c>
      <c r="B19" s="12" t="n"/>
      <c r="C19" s="12" t="n"/>
      <c r="D19" s="12" t="n"/>
      <c r="E19" s="12" t="n"/>
      <c r="F19" s="12" t="n"/>
    </row>
    <row r="20">
      <c r="A20" s="19">
        <f>opt_TotalVolumeOptions("NVDA")</f>
        <v/>
      </c>
      <c r="B20" s="12" t="n"/>
      <c r="C20" s="20" t="inlineStr">
        <is>
          <t>Feeds the relative volume column being counted here</t>
        </is>
      </c>
      <c r="D20" s="12" t="n"/>
      <c r="E20" s="12" t="n"/>
      <c r="F20" s="12" t="n"/>
    </row>
    <row r="21">
      <c r="A21" s="19">
        <f>opt_VolumeOptionsAverage("NVDA",20)</f>
        <v/>
      </c>
      <c r="B21" s="12" t="n"/>
      <c r="C21" s="20" t="inlineStr">
        <is>
          <t>The baseline in the same ratio</t>
        </is>
      </c>
      <c r="D21" s="12" t="n"/>
      <c r="E21" s="12" t="n"/>
      <c r="F21" s="12" t="n"/>
    </row>
    <row r="22">
      <c r="A22" s="19">
        <f>opt_TotalOpenInterestOptions("NVDA")</f>
        <v/>
      </c>
      <c r="B22" s="12" t="n"/>
      <c r="C22" s="20" t="inlineStr">
        <is>
          <t>Denominator of the volume against open interest test</t>
        </is>
      </c>
      <c r="D22" s="12" t="n"/>
      <c r="E22" s="12" t="n"/>
      <c r="F22" s="12" t="n"/>
    </row>
    <row r="24">
      <c r="A24" s="21" t="inlineStr">
        <is>
          <t>MarketXLS: https://marketxls.com    |    Book a demo: https://marketxls.com/book-demo</t>
        </is>
      </c>
    </row>
  </sheetData>
  <mergeCells count="11">
    <mergeCell ref="C22:F22"/>
    <mergeCell ref="A2:F2"/>
    <mergeCell ref="A20:B20"/>
    <mergeCell ref="A14:F17"/>
    <mergeCell ref="A21:B21"/>
    <mergeCell ref="A24:F24"/>
    <mergeCell ref="A19:F19"/>
    <mergeCell ref="A1:F1"/>
    <mergeCell ref="C20:F20"/>
    <mergeCell ref="C21:F21"/>
    <mergeCell ref="A22:B22"/>
  </mergeCells>
  <conditionalFormatting sqref="D5:D11">
    <cfRule type="colorScale" priority="1">
      <colorScale>
        <cfvo type="num" val="0"/>
        <cfvo type="num" val="4"/>
        <cfvo type="num" val="12"/>
        <color rgb="000E7C66"/>
        <color rgb="00FFF3B0"/>
        <color rgb="00F4978E"/>
      </colorScale>
    </cfRule>
  </conditionalFormatting>
  <pageMargins left="0.75" right="0.75" top="1" bottom="1" header="0.5" footer="0.5"/>
</worksheet>
</file>

<file path=xl/worksheets/sheet8.xml><?xml version="1.0" encoding="utf-8"?>
<worksheet xmlns="http://schemas.openxmlformats.org/spreadsheetml/2006/main">
  <sheetPr>
    <tabColor rgb="002A9D8F"/>
    <outlinePr summaryBelow="1" summaryRight="1"/>
    <pageSetUpPr/>
  </sheetPr>
  <dimension ref="A1:L33"/>
  <sheetViews>
    <sheetView showGridLines="0" workbookViewId="0">
      <pane xSplit="2" ySplit="8" topLeftCell="C9" activePane="bottomRight" state="frozen"/>
      <selection pane="topRight"/>
      <selection pane="bottomLeft"/>
      <selection pane="bottomRight" activeCell="A1" sqref="A1"/>
    </sheetView>
  </sheetViews>
  <sheetFormatPr baseColWidth="8" defaultRowHeight="15"/>
  <cols>
    <col width="10" customWidth="1" min="1" max="1"/>
    <col width="8" customWidth="1" min="2" max="2"/>
    <col width="11" customWidth="1" min="3" max="3"/>
    <col width="15" customWidth="1" min="4" max="4"/>
    <col width="14" customWidth="1" min="5" max="5"/>
    <col width="14" customWidth="1" min="6" max="6"/>
    <col width="16" customWidth="1" min="7" max="7"/>
    <col width="13" customWidth="1" min="8" max="8"/>
    <col width="17" customWidth="1" min="9" max="9"/>
    <col width="15" customWidth="1" min="10" max="10"/>
    <col width="18" customWidth="1" min="11" max="11"/>
    <col width="14" customWidth="1" min="12" max="12"/>
  </cols>
  <sheetData>
    <row r="1" ht="30" customHeight="1">
      <c r="A1" s="6" t="inlineStr">
        <is>
          <t>Position Sizing</t>
        </is>
      </c>
    </row>
    <row r="2">
      <c r="A2" s="7" t="inlineStr">
        <is>
          <t>A flag is not a position. This sheet converts account size and risk per idea into a contract count.</t>
        </is>
      </c>
    </row>
    <row r="4">
      <c r="A4" s="37" t="inlineStr">
        <is>
          <t>ACCOUNT SIZE</t>
        </is>
      </c>
      <c r="B4" s="38" t="n"/>
      <c r="C4" s="37" t="inlineStr">
        <is>
          <t>RISK PER IDEA</t>
        </is>
      </c>
      <c r="D4" s="38" t="n"/>
      <c r="E4" s="37" t="inlineStr">
        <is>
          <t>BUDGET PER IDEA</t>
        </is>
      </c>
      <c r="F4" s="38" t="n"/>
      <c r="G4" s="37" t="inlineStr">
        <is>
          <t>IDEAS SHOWN</t>
        </is>
      </c>
      <c r="H4" s="38" t="n"/>
    </row>
    <row r="5" ht="30" customHeight="1">
      <c r="A5" s="75">
        <f>Inputs!B5</f>
        <v/>
      </c>
      <c r="B5" s="38" t="n"/>
      <c r="C5" s="76">
        <f>Inputs!B6</f>
        <v/>
      </c>
      <c r="D5" s="38" t="n"/>
      <c r="E5" s="75">
        <f>Inputs!B5*Inputs!B6</f>
        <v/>
      </c>
      <c r="F5" s="38" t="n"/>
      <c r="G5" s="39" t="n">
        <v>12</v>
      </c>
      <c r="H5" s="38" t="n"/>
    </row>
    <row r="8" ht="30" customHeight="1">
      <c r="A8" s="9" t="inlineStr">
        <is>
          <t>Ticker</t>
        </is>
      </c>
      <c r="B8" s="9" t="inlineStr">
        <is>
          <t>Type</t>
        </is>
      </c>
      <c r="C8" s="9" t="inlineStr">
        <is>
          <t>Strike</t>
        </is>
      </c>
      <c r="D8" s="9" t="inlineStr">
        <is>
          <t>Contract Price</t>
        </is>
      </c>
      <c r="E8" s="9" t="inlineStr">
        <is>
          <t>Risk Budget</t>
        </is>
      </c>
      <c r="F8" s="9" t="inlineStr">
        <is>
          <t>Max Contracts</t>
        </is>
      </c>
      <c r="G8" s="9" t="inlineStr">
        <is>
          <t>Premium At Risk</t>
        </is>
      </c>
      <c r="H8" s="9" t="inlineStr">
        <is>
          <t>% of Account</t>
        </is>
      </c>
      <c r="I8" s="9" t="inlineStr">
        <is>
          <t>Delta Per Contract</t>
        </is>
      </c>
      <c r="J8" s="9" t="inlineStr">
        <is>
          <t>Position Delta</t>
        </is>
      </c>
      <c r="K8" s="9" t="inlineStr">
        <is>
          <t>Notional Exposure</t>
        </is>
      </c>
      <c r="L8" s="9" t="inlineStr">
        <is>
          <t>Theta Per Day</t>
        </is>
      </c>
    </row>
    <row r="9">
      <c r="A9" s="43" t="inlineStr">
        <is>
          <t>NVDA</t>
        </is>
      </c>
      <c r="B9" s="29" t="inlineStr">
        <is>
          <t>Call</t>
        </is>
      </c>
      <c r="C9" s="44" t="n">
        <v>190</v>
      </c>
      <c r="D9" s="44" t="n">
        <v>4.85</v>
      </c>
      <c r="E9" s="58">
        <f>Inputs!$B$5*Inputs!$B$6</f>
        <v/>
      </c>
      <c r="F9" s="69">
        <f>IFERROR(ROUNDDOWN(E9/(D9*100),0),0)</f>
        <v/>
      </c>
      <c r="G9" s="58">
        <f>F9*D9*100</f>
        <v/>
      </c>
      <c r="H9" s="77">
        <f>IFERROR(G9/Inputs!$B$5,0)</f>
        <v/>
      </c>
      <c r="I9" s="78" t="n">
        <v>0.3420608582956527</v>
      </c>
      <c r="J9" s="79">
        <f>F9*I9*100</f>
        <v/>
      </c>
      <c r="K9" s="58">
        <f>J9*178.42</f>
        <v/>
      </c>
      <c r="L9" s="44" t="n">
        <v>-0.1275</v>
      </c>
    </row>
    <row r="10">
      <c r="A10" s="34" t="inlineStr">
        <is>
          <t>NVDA</t>
        </is>
      </c>
      <c r="B10" s="33" t="inlineStr">
        <is>
          <t>Call</t>
        </is>
      </c>
      <c r="C10" s="48" t="n">
        <v>200</v>
      </c>
      <c r="D10" s="48" t="n">
        <v>2.61</v>
      </c>
      <c r="E10" s="64">
        <f>Inputs!$B$5*Inputs!$B$6</f>
        <v/>
      </c>
      <c r="F10" s="73">
        <f>IFERROR(ROUNDDOWN(E10/(D10*100),0),0)</f>
        <v/>
      </c>
      <c r="G10" s="64">
        <f>F10*D10*100</f>
        <v/>
      </c>
      <c r="H10" s="80">
        <f>IFERROR(G10/Inputs!$B$5,0)</f>
        <v/>
      </c>
      <c r="I10" s="81" t="n">
        <v>0.2181523773844018</v>
      </c>
      <c r="J10" s="82">
        <f>F10*I10*100</f>
        <v/>
      </c>
      <c r="K10" s="64">
        <f>J10*178.42</f>
        <v/>
      </c>
      <c r="L10" s="48" t="n">
        <v>-0.1052</v>
      </c>
    </row>
    <row r="11">
      <c r="A11" s="43" t="inlineStr">
        <is>
          <t>NVDA</t>
        </is>
      </c>
      <c r="B11" s="29" t="inlineStr">
        <is>
          <t>Put</t>
        </is>
      </c>
      <c r="C11" s="44" t="n">
        <v>165</v>
      </c>
      <c r="D11" s="44" t="n">
        <v>3.94</v>
      </c>
      <c r="E11" s="58">
        <f>Inputs!$B$5*Inputs!$B$6</f>
        <v/>
      </c>
      <c r="F11" s="69">
        <f>IFERROR(ROUNDDOWN(E11/(D11*100),0),0)</f>
        <v/>
      </c>
      <c r="G11" s="58">
        <f>F11*D11*100</f>
        <v/>
      </c>
      <c r="H11" s="77">
        <f>IFERROR(G11/Inputs!$B$5,0)</f>
        <v/>
      </c>
      <c r="I11" s="78" t="n">
        <v>-0.2467085161892684</v>
      </c>
      <c r="J11" s="79">
        <f>F11*I11*100</f>
        <v/>
      </c>
      <c r="K11" s="58">
        <f>J11*178.42</f>
        <v/>
      </c>
      <c r="L11" s="44" t="n">
        <v>-0.1044</v>
      </c>
    </row>
    <row r="12">
      <c r="A12" s="34" t="inlineStr">
        <is>
          <t>AMD</t>
        </is>
      </c>
      <c r="B12" s="33" t="inlineStr">
        <is>
          <t>Call</t>
        </is>
      </c>
      <c r="C12" s="48" t="n">
        <v>175</v>
      </c>
      <c r="D12" s="48" t="n">
        <v>5.12</v>
      </c>
      <c r="E12" s="64">
        <f>Inputs!$B$5*Inputs!$B$6</f>
        <v/>
      </c>
      <c r="F12" s="73">
        <f>IFERROR(ROUNDDOWN(E12/(D12*100),0),0)</f>
        <v/>
      </c>
      <c r="G12" s="64">
        <f>F12*D12*100</f>
        <v/>
      </c>
      <c r="H12" s="80">
        <f>IFERROR(G12/Inputs!$B$5,0)</f>
        <v/>
      </c>
      <c r="I12" s="81" t="n">
        <v>0.350856375140995</v>
      </c>
      <c r="J12" s="82">
        <f>F12*I12*100</f>
        <v/>
      </c>
      <c r="K12" s="64">
        <f>J12*162.85</f>
        <v/>
      </c>
      <c r="L12" s="48" t="n">
        <v>-0.1381</v>
      </c>
    </row>
    <row r="13">
      <c r="A13" s="43" t="inlineStr">
        <is>
          <t>AMD</t>
        </is>
      </c>
      <c r="B13" s="29" t="inlineStr">
        <is>
          <t>Call</t>
        </is>
      </c>
      <c r="C13" s="44" t="n">
        <v>185</v>
      </c>
      <c r="D13" s="44" t="n">
        <v>2.88</v>
      </c>
      <c r="E13" s="58">
        <f>Inputs!$B$5*Inputs!$B$6</f>
        <v/>
      </c>
      <c r="F13" s="69">
        <f>IFERROR(ROUNDDOWN(E13/(D13*100),0),0)</f>
        <v/>
      </c>
      <c r="G13" s="58">
        <f>F13*D13*100</f>
        <v/>
      </c>
      <c r="H13" s="77">
        <f>IFERROR(G13/Inputs!$B$5,0)</f>
        <v/>
      </c>
      <c r="I13" s="78" t="n">
        <v>0.2330384056655306</v>
      </c>
      <c r="J13" s="79">
        <f>F13*I13*100</f>
        <v/>
      </c>
      <c r="K13" s="58">
        <f>J13*162.85</f>
        <v/>
      </c>
      <c r="L13" s="44" t="n">
        <v>-0.1164</v>
      </c>
    </row>
    <row r="14">
      <c r="A14" s="34" t="inlineStr">
        <is>
          <t>PLTR</t>
        </is>
      </c>
      <c r="B14" s="33" t="inlineStr">
        <is>
          <t>Call</t>
        </is>
      </c>
      <c r="C14" s="48" t="n">
        <v>175</v>
      </c>
      <c r="D14" s="48" t="n">
        <v>4.36</v>
      </c>
      <c r="E14" s="64">
        <f>Inputs!$B$5*Inputs!$B$6</f>
        <v/>
      </c>
      <c r="F14" s="73">
        <f>IFERROR(ROUNDDOWN(E14/(D14*100),0),0)</f>
        <v/>
      </c>
      <c r="G14" s="64">
        <f>F14*D14*100</f>
        <v/>
      </c>
      <c r="H14" s="80">
        <f>IFERROR(G14/Inputs!$B$5,0)</f>
        <v/>
      </c>
      <c r="I14" s="81" t="n">
        <v>0.3129242252515906</v>
      </c>
      <c r="J14" s="82">
        <f>F14*I14*100</f>
        <v/>
      </c>
      <c r="K14" s="64">
        <f>J14*158.03</f>
        <v/>
      </c>
      <c r="L14" s="48" t="n">
        <v>-0.146</v>
      </c>
    </row>
    <row r="15">
      <c r="A15" s="43" t="inlineStr">
        <is>
          <t>XLE</t>
        </is>
      </c>
      <c r="B15" s="29" t="inlineStr">
        <is>
          <t>Call</t>
        </is>
      </c>
      <c r="C15" s="44" t="n">
        <v>100</v>
      </c>
      <c r="D15" s="44" t="n">
        <v>1.42</v>
      </c>
      <c r="E15" s="58">
        <f>Inputs!$B$5*Inputs!$B$6</f>
        <v/>
      </c>
      <c r="F15" s="69">
        <f>IFERROR(ROUNDDOWN(E15/(D15*100),0),0)</f>
        <v/>
      </c>
      <c r="G15" s="58">
        <f>F15*D15*100</f>
        <v/>
      </c>
      <c r="H15" s="77">
        <f>IFERROR(G15/Inputs!$B$5,0)</f>
        <v/>
      </c>
      <c r="I15" s="78" t="n">
        <v>0.297972176397642</v>
      </c>
      <c r="J15" s="79">
        <f>F15*I15*100</f>
        <v/>
      </c>
      <c r="K15" s="58">
        <f>J15*94.17</f>
        <v/>
      </c>
      <c r="L15" s="44" t="n">
        <v>-0.0496</v>
      </c>
    </row>
    <row r="16">
      <c r="A16" s="34" t="inlineStr">
        <is>
          <t>XLE</t>
        </is>
      </c>
      <c r="B16" s="33" t="inlineStr">
        <is>
          <t>Put</t>
        </is>
      </c>
      <c r="C16" s="48" t="n">
        <v>90</v>
      </c>
      <c r="D16" s="48" t="n">
        <v>1.86</v>
      </c>
      <c r="E16" s="64">
        <f>Inputs!$B$5*Inputs!$B$6</f>
        <v/>
      </c>
      <c r="F16" s="73">
        <f>IFERROR(ROUNDDOWN(E16/(D16*100),0),0)</f>
        <v/>
      </c>
      <c r="G16" s="64">
        <f>F16*D16*100</f>
        <v/>
      </c>
      <c r="H16" s="80">
        <f>IFERROR(G16/Inputs!$B$5,0)</f>
        <v/>
      </c>
      <c r="I16" s="81" t="n">
        <v>-0.2934470730216225</v>
      </c>
      <c r="J16" s="82">
        <f>F16*I16*100</f>
        <v/>
      </c>
      <c r="K16" s="64">
        <f>J16*94.17</f>
        <v/>
      </c>
      <c r="L16" s="48" t="n">
        <v>-0.0441</v>
      </c>
    </row>
    <row r="17">
      <c r="A17" s="43" t="inlineStr">
        <is>
          <t>COIN</t>
        </is>
      </c>
      <c r="B17" s="29" t="inlineStr">
        <is>
          <t>Call</t>
        </is>
      </c>
      <c r="C17" s="44" t="n">
        <v>340</v>
      </c>
      <c r="D17" s="44" t="n">
        <v>9.74</v>
      </c>
      <c r="E17" s="58">
        <f>Inputs!$B$5*Inputs!$B$6</f>
        <v/>
      </c>
      <c r="F17" s="69">
        <f>IFERROR(ROUNDDOWN(E17/(D17*100),0),0)</f>
        <v/>
      </c>
      <c r="G17" s="58">
        <f>F17*D17*100</f>
        <v/>
      </c>
      <c r="H17" s="77">
        <f>IFERROR(G17/Inputs!$B$5,0)</f>
        <v/>
      </c>
      <c r="I17" s="78" t="n">
        <v>0.3670189945352371</v>
      </c>
      <c r="J17" s="79">
        <f>F17*I17*100</f>
        <v/>
      </c>
      <c r="K17" s="58">
        <f>J17*312.44</f>
        <v/>
      </c>
      <c r="L17" s="44" t="n">
        <v>-0.3339</v>
      </c>
    </row>
    <row r="18">
      <c r="A18" s="34" t="inlineStr">
        <is>
          <t>MU</t>
        </is>
      </c>
      <c r="B18" s="33" t="inlineStr">
        <is>
          <t>Call</t>
        </is>
      </c>
      <c r="C18" s="48" t="n">
        <v>155</v>
      </c>
      <c r="D18" s="48" t="n">
        <v>4.02</v>
      </c>
      <c r="E18" s="64">
        <f>Inputs!$B$5*Inputs!$B$6</f>
        <v/>
      </c>
      <c r="F18" s="73">
        <f>IFERROR(ROUNDDOWN(E18/(D18*100),0),0)</f>
        <v/>
      </c>
      <c r="G18" s="64">
        <f>F18*D18*100</f>
        <v/>
      </c>
      <c r="H18" s="80">
        <f>IFERROR(G18/Inputs!$B$5,0)</f>
        <v/>
      </c>
      <c r="I18" s="81" t="n">
        <v>0.3240499813642946</v>
      </c>
      <c r="J18" s="82">
        <f>F18*I18*100</f>
        <v/>
      </c>
      <c r="K18" s="64">
        <f>J18*142.29</f>
        <v/>
      </c>
      <c r="L18" s="48" t="n">
        <v>-0.12</v>
      </c>
    </row>
    <row r="19">
      <c r="A19" s="43" t="inlineStr">
        <is>
          <t>SPY</t>
        </is>
      </c>
      <c r="B19" s="29" t="inlineStr">
        <is>
          <t>Put</t>
        </is>
      </c>
      <c r="C19" s="44" t="n">
        <v>760</v>
      </c>
      <c r="D19" s="44" t="n">
        <v>6.18</v>
      </c>
      <c r="E19" s="58">
        <f>Inputs!$B$5*Inputs!$B$6</f>
        <v/>
      </c>
      <c r="F19" s="69">
        <f>IFERROR(ROUNDDOWN(E19/(D19*100),0),0)</f>
        <v/>
      </c>
      <c r="G19" s="58">
        <f>F19*D19*100</f>
        <v/>
      </c>
      <c r="H19" s="77">
        <f>IFERROR(G19/Inputs!$B$5,0)</f>
        <v/>
      </c>
      <c r="I19" s="78" t="n">
        <v>-0.2995365466879008</v>
      </c>
      <c r="J19" s="79">
        <f>F19*I19*100</f>
        <v/>
      </c>
      <c r="K19" s="58">
        <f>J19*776.34</f>
        <v/>
      </c>
      <c r="L19" s="44" t="n">
        <v>-0.1718</v>
      </c>
    </row>
    <row r="20">
      <c r="A20" s="34" t="inlineStr">
        <is>
          <t>AAPL</t>
        </is>
      </c>
      <c r="B20" s="33" t="inlineStr">
        <is>
          <t>Call</t>
        </is>
      </c>
      <c r="C20" s="48" t="n">
        <v>260</v>
      </c>
      <c r="D20" s="48" t="n">
        <v>3.27</v>
      </c>
      <c r="E20" s="64">
        <f>Inputs!$B$5*Inputs!$B$6</f>
        <v/>
      </c>
      <c r="F20" s="73">
        <f>IFERROR(ROUNDDOWN(E20/(D20*100),0),0)</f>
        <v/>
      </c>
      <c r="G20" s="64">
        <f>F20*D20*100</f>
        <v/>
      </c>
      <c r="H20" s="80">
        <f>IFERROR(G20/Inputs!$B$5,0)</f>
        <v/>
      </c>
      <c r="I20" s="81" t="n">
        <v>0.2833329949742056</v>
      </c>
      <c r="J20" s="82">
        <f>F20*I20*100</f>
        <v/>
      </c>
      <c r="K20" s="64">
        <f>J20*247.61</f>
        <v/>
      </c>
      <c r="L20" s="48" t="n">
        <v>-0.0985</v>
      </c>
    </row>
    <row r="22" ht="28" customHeight="1">
      <c r="A22" s="8" t="inlineStr">
        <is>
          <t>Notional exposure is the number every flow-driven trade underestimates. A position that costs 1 percent of the account to open can carry six figures of directional exposure once position delta is multiplied by the underlying price. Read column K before column G.</t>
        </is>
      </c>
    </row>
    <row r="23"/>
    <row r="25">
      <c r="A25" s="83" t="inlineStr">
        <is>
          <t>Educational sizing arithmetic only. This is not a recommendation to open any position.</t>
        </is>
      </c>
    </row>
    <row r="27">
      <c r="A27" s="18" t="inlineStr">
        <is>
          <t>MarketXLS Functions Used in This Sheet</t>
        </is>
      </c>
      <c r="B27" s="12" t="n"/>
      <c r="C27" s="12" t="n"/>
      <c r="D27" s="12" t="n"/>
      <c r="E27" s="12" t="n"/>
      <c r="F27" s="12" t="n"/>
      <c r="G27" s="12" t="n"/>
      <c r="H27" s="12" t="n"/>
    </row>
    <row r="28">
      <c r="A28" s="19">
        <f>Option_Last_Price(OptionSymbol("NVDA","2026-09-18","Call",200))</f>
        <v/>
      </c>
      <c r="B28" s="12" t="n"/>
      <c r="C28" s="20" t="inlineStr">
        <is>
          <t>Contract price feeding the sizing</t>
        </is>
      </c>
      <c r="D28" s="12" t="n"/>
      <c r="E28" s="12" t="n"/>
      <c r="F28" s="12" t="n"/>
      <c r="G28" s="12" t="n"/>
      <c r="H28" s="12" t="n"/>
    </row>
    <row r="29">
      <c r="A29" s="19">
        <f>opt_Delta(QM_Last("NVDA"),4.85,"2026-09-18","Call",200)</f>
        <v/>
      </c>
      <c r="B29" s="12" t="n"/>
      <c r="C29" s="20" t="inlineStr">
        <is>
          <t>Delta per contract</t>
        </is>
      </c>
      <c r="D29" s="12" t="n"/>
      <c r="E29" s="12" t="n"/>
      <c r="F29" s="12" t="n"/>
      <c r="G29" s="12" t="n"/>
      <c r="H29" s="12" t="n"/>
    </row>
    <row r="30">
      <c r="A30" s="19">
        <f>opt_Theta(QM_Last("NVDA"),4.85,"2026-09-18","Call",200)</f>
        <v/>
      </c>
      <c r="B30" s="12" t="n"/>
      <c r="C30" s="20" t="inlineStr">
        <is>
          <t>Daily decay per contract</t>
        </is>
      </c>
      <c r="D30" s="12" t="n"/>
      <c r="E30" s="12" t="n"/>
      <c r="F30" s="12" t="n"/>
      <c r="G30" s="12" t="n"/>
      <c r="H30" s="12" t="n"/>
    </row>
    <row r="31">
      <c r="A31" s="19">
        <f>QM_Last("NVDA")</f>
        <v/>
      </c>
      <c r="B31" s="12" t="n"/>
      <c r="C31" s="20" t="inlineStr">
        <is>
          <t>Underlying price for the notional calculation</t>
        </is>
      </c>
      <c r="D31" s="12" t="n"/>
      <c r="E31" s="12" t="n"/>
      <c r="F31" s="12" t="n"/>
      <c r="G31" s="12" t="n"/>
      <c r="H31" s="12" t="n"/>
    </row>
    <row r="33">
      <c r="A33" s="21" t="inlineStr">
        <is>
          <t>MarketXLS: https://marketxls.com    |    Book a demo: https://marketxls.com/book-demo</t>
        </is>
      </c>
    </row>
  </sheetData>
  <mergeCells count="22">
    <mergeCell ref="A30:B30"/>
    <mergeCell ref="A25:L25"/>
    <mergeCell ref="C5:D5"/>
    <mergeCell ref="C31:H31"/>
    <mergeCell ref="E5:F5"/>
    <mergeCell ref="C4:D4"/>
    <mergeCell ref="A2:L2"/>
    <mergeCell ref="E4:F4"/>
    <mergeCell ref="A27:H27"/>
    <mergeCell ref="C28:H28"/>
    <mergeCell ref="A5:B5"/>
    <mergeCell ref="G5:H5"/>
    <mergeCell ref="A33:H33"/>
    <mergeCell ref="C30:H30"/>
    <mergeCell ref="A4:B4"/>
    <mergeCell ref="G4:H4"/>
    <mergeCell ref="A29:B29"/>
    <mergeCell ref="A1:L1"/>
    <mergeCell ref="A28:B28"/>
    <mergeCell ref="A22:L23"/>
    <mergeCell ref="A31:B31"/>
    <mergeCell ref="C29:H29"/>
  </mergeCells>
  <conditionalFormatting sqref="H9:H20">
    <cfRule type="colorScale" priority="1">
      <colorScale>
        <cfvo type="num" val="0"/>
        <cfvo type="num" val="0.02"/>
        <color rgb="00FFFFFF"/>
        <color rgb="00F4978E"/>
      </colorScale>
    </cfRule>
  </conditionalFormatting>
  <pageMargins left="0.75" right="0.75" top="1" bottom="1" header="0.5" footer="0.5"/>
</worksheet>
</file>

<file path=xl/worksheets/sheet9.xml><?xml version="1.0" encoding="utf-8"?>
<worksheet xmlns="http://schemas.openxmlformats.org/spreadsheetml/2006/main">
  <sheetPr>
    <tabColor rgb="008B5CF6"/>
    <outlinePr summaryBelow="1" summaryRight="1"/>
    <pageSetUpPr/>
  </sheetPr>
  <dimension ref="A1:H25"/>
  <sheetViews>
    <sheetView showGridLines="0" workbookViewId="0">
      <pane ySplit="4" topLeftCell="A5" activePane="bottomLeft" state="frozen"/>
      <selection pane="bottomLeft" activeCell="A1" sqref="A1"/>
    </sheetView>
  </sheetViews>
  <sheetFormatPr baseColWidth="8" defaultRowHeight="15"/>
  <cols>
    <col width="24" customWidth="1" min="1" max="1"/>
    <col width="14" customWidth="1" min="2" max="2"/>
    <col width="18" customWidth="1" min="3" max="3"/>
    <col width="18" customWidth="1" min="4" max="4"/>
    <col width="16" customWidth="1" min="5" max="5"/>
    <col width="16" customWidth="1" min="6" max="6"/>
    <col width="16" customWidth="1" min="7" max="7"/>
    <col width="44" customWidth="1" min="8" max="8"/>
  </cols>
  <sheetData>
    <row r="1" ht="30" customHeight="1">
      <c r="A1" s="6" t="inlineStr">
        <is>
          <t>Sector Comparison</t>
        </is>
      </c>
    </row>
    <row r="2">
      <c r="A2" s="7" t="inlineStr">
        <is>
          <t>Twelve flags in one sector is one event. This sheet stops you counting it as twelve.</t>
        </is>
      </c>
    </row>
    <row r="4" ht="30" customHeight="1">
      <c r="A4" s="9" t="inlineStr">
        <is>
          <t>Sector</t>
        </is>
      </c>
      <c r="B4" s="9" t="inlineStr">
        <is>
          <t>Names</t>
        </is>
      </c>
      <c r="C4" s="9" t="inlineStr">
        <is>
          <t>Options Volume</t>
        </is>
      </c>
      <c r="D4" s="9" t="inlineStr">
        <is>
          <t>20d Avg Volume</t>
        </is>
      </c>
      <c r="E4" s="9" t="inlineStr">
        <is>
          <t>Rel Vol (x)</t>
        </is>
      </c>
      <c r="F4" s="9" t="inlineStr">
        <is>
          <t>Put/Call Vol</t>
        </is>
      </c>
      <c r="G4" s="9" t="inlineStr">
        <is>
          <t>Avg IV Rank</t>
        </is>
      </c>
      <c r="H4" s="9" t="inlineStr">
        <is>
          <t>Reading</t>
        </is>
      </c>
    </row>
    <row r="5">
      <c r="A5" s="68" t="inlineStr">
        <is>
          <t>Energy</t>
        </is>
      </c>
      <c r="B5" s="84">
        <f>COUNTIF('Flow Scanner'!$C$9:$C$20,A5)</f>
        <v/>
      </c>
      <c r="C5" s="45">
        <f>SUMIF('Flow Scanner'!$C$9:$C$20,A5,'Flow Scanner'!$E$9:$E$20)</f>
        <v/>
      </c>
      <c r="D5" s="45">
        <f>SUMIF('Flow Scanner'!$C$9:$C$20,A5,'Flow Scanner'!$F$9:$F$20)</f>
        <v/>
      </c>
      <c r="E5" s="85">
        <f>IFERROR(C5/D5,0)</f>
        <v/>
      </c>
      <c r="F5" s="32">
        <f>IFERROR(SUMIF('Flow Scanner'!$C$9:$C$20,A5,'Flow Scanner'!$K$9:$K$20)/SUMIF('Flow Scanner'!$C$9:$C$20,A5,'Flow Scanner'!$J$9:$J$20),0)</f>
        <v/>
      </c>
      <c r="G5" s="86">
        <f>IFERROR(AVERAGEIF('Flow Scanner'!$C$9:$C$20,A5,'Flow Scanner'!$M$9:$M$20),0)</f>
        <v/>
      </c>
      <c r="H5" s="20">
        <f>IF(AND(E5&gt;=2,B5&gt;=2),"Sector-wide flow, treat as one theme",IF(E5&gt;=2,"Single name driving the sector","Normal"))</f>
        <v/>
      </c>
    </row>
    <row r="6">
      <c r="A6" s="71" t="inlineStr">
        <is>
          <t>Financial Services</t>
        </is>
      </c>
      <c r="B6" s="87">
        <f>COUNTIF('Flow Scanner'!$C$9:$C$20,A6)</f>
        <v/>
      </c>
      <c r="C6" s="49">
        <f>SUMIF('Flow Scanner'!$C$9:$C$20,A6,'Flow Scanner'!$E$9:$E$20)</f>
        <v/>
      </c>
      <c r="D6" s="49">
        <f>SUMIF('Flow Scanner'!$C$9:$C$20,A6,'Flow Scanner'!$F$9:$F$20)</f>
        <v/>
      </c>
      <c r="E6" s="72">
        <f>IFERROR(C6/D6,0)</f>
        <v/>
      </c>
      <c r="F6" s="36">
        <f>IFERROR(SUMIF('Flow Scanner'!$C$9:$C$20,A6,'Flow Scanner'!$K$9:$K$20)/SUMIF('Flow Scanner'!$C$9:$C$20,A6,'Flow Scanner'!$J$9:$J$20),0)</f>
        <v/>
      </c>
      <c r="G6" s="88">
        <f>IFERROR(AVERAGEIF('Flow Scanner'!$C$9:$C$20,A6,'Flow Scanner'!$M$9:$M$20),0)</f>
        <v/>
      </c>
      <c r="H6" s="89">
        <f>IF(AND(E6&gt;=2,B6&gt;=2),"Sector-wide flow, treat as one theme",IF(E6&gt;=2,"Single name driving the sector","Normal"))</f>
        <v/>
      </c>
    </row>
    <row r="7">
      <c r="A7" s="68" t="inlineStr">
        <is>
          <t>Technology</t>
        </is>
      </c>
      <c r="B7" s="84">
        <f>COUNTIF('Flow Scanner'!$C$9:$C$20,A7)</f>
        <v/>
      </c>
      <c r="C7" s="45">
        <f>SUMIF('Flow Scanner'!$C$9:$C$20,A7,'Flow Scanner'!$E$9:$E$20)</f>
        <v/>
      </c>
      <c r="D7" s="45">
        <f>SUMIF('Flow Scanner'!$C$9:$C$20,A7,'Flow Scanner'!$F$9:$F$20)</f>
        <v/>
      </c>
      <c r="E7" s="85">
        <f>IFERROR(C7/D7,0)</f>
        <v/>
      </c>
      <c r="F7" s="32">
        <f>IFERROR(SUMIF('Flow Scanner'!$C$9:$C$20,A7,'Flow Scanner'!$K$9:$K$20)/SUMIF('Flow Scanner'!$C$9:$C$20,A7,'Flow Scanner'!$J$9:$J$20),0)</f>
        <v/>
      </c>
      <c r="G7" s="86">
        <f>IFERROR(AVERAGEIF('Flow Scanner'!$C$9:$C$20,A7,'Flow Scanner'!$M$9:$M$20),0)</f>
        <v/>
      </c>
      <c r="H7" s="20">
        <f>IF(AND(E7&gt;=2,B7&gt;=2),"Sector-wide flow, treat as one theme",IF(E7&gt;=2,"Single name driving the sector","Normal"))</f>
        <v/>
      </c>
    </row>
    <row r="9">
      <c r="A9" s="16" t="inlineStr">
        <is>
          <t>Cross-check: is the whole tape busy?</t>
        </is>
      </c>
    </row>
    <row r="10">
      <c r="A10" s="68" t="inlineStr">
        <is>
          <t>Watchlist total options volume</t>
        </is>
      </c>
      <c r="B10" s="79">
        <f>SUM('Flow Scanner'!E9:E20)</f>
        <v/>
      </c>
    </row>
    <row r="11">
      <c r="A11" s="68" t="inlineStr">
        <is>
          <t>Watchlist total 20-day average</t>
        </is>
      </c>
      <c r="B11" s="79">
        <f>SUM('Flow Scanner'!F9:F20)</f>
        <v/>
      </c>
    </row>
    <row r="12">
      <c r="A12" s="68" t="inlineStr">
        <is>
          <t>Watchlist aggregate relative volume</t>
        </is>
      </c>
      <c r="B12" s="32">
        <f>IFERROR(B10/B11,0)</f>
        <v/>
      </c>
    </row>
    <row r="13">
      <c r="A13" s="68" t="inlineStr">
        <is>
          <t>Watchlist put-call volume ratio</t>
        </is>
      </c>
      <c r="B13" s="32">
        <f>IFERROR(SUM('Flow Scanner'!K9:K20)/SUM('Flow Scanner'!J9:J20),0)</f>
        <v/>
      </c>
    </row>
    <row r="15" ht="28" customHeight="1">
      <c r="A15" s="8" t="inlineStr">
        <is>
          <t>If aggregate relative volume for the whole watchlist is above 1.5, the entire tape is busy and individual flags carry less information. Read the aggregate row before you read any single row on the Flow Scanner.</t>
        </is>
      </c>
    </row>
    <row r="16"/>
    <row r="18">
      <c r="A18" s="18" t="inlineStr">
        <is>
          <t>MarketXLS Functions Used in This Sheet</t>
        </is>
      </c>
      <c r="B18" s="12" t="n"/>
      <c r="C18" s="12" t="n"/>
      <c r="D18" s="12" t="n"/>
      <c r="E18" s="12" t="n"/>
      <c r="F18" s="12" t="n"/>
      <c r="G18" s="12" t="n"/>
      <c r="H18" s="12" t="n"/>
    </row>
    <row r="19">
      <c r="A19" s="19">
        <f>Sector("NVDA")</f>
        <v/>
      </c>
      <c r="B19" s="12" t="n"/>
      <c r="C19" s="20" t="inlineStr">
        <is>
          <t>Sector label used to group every row here</t>
        </is>
      </c>
      <c r="D19" s="12" t="n"/>
      <c r="E19" s="12" t="n"/>
      <c r="F19" s="12" t="n"/>
      <c r="G19" s="12" t="n"/>
      <c r="H19" s="12" t="n"/>
    </row>
    <row r="20">
      <c r="A20" s="19">
        <f>opt_TotalVolumeOptions("NVDA")</f>
        <v/>
      </c>
      <c r="B20" s="12" t="n"/>
      <c r="C20" s="20" t="inlineStr">
        <is>
          <t>Volume aggregated by sector</t>
        </is>
      </c>
      <c r="D20" s="12" t="n"/>
      <c r="E20" s="12" t="n"/>
      <c r="F20" s="12" t="n"/>
      <c r="G20" s="12" t="n"/>
      <c r="H20" s="12" t="n"/>
    </row>
    <row r="21">
      <c r="A21" s="19">
        <f>opt_VolumeOptionsAverage("NVDA",20)</f>
        <v/>
      </c>
      <c r="B21" s="12" t="n"/>
      <c r="C21" s="20" t="inlineStr">
        <is>
          <t>Baseline aggregated by sector</t>
        </is>
      </c>
      <c r="D21" s="12" t="n"/>
      <c r="E21" s="12" t="n"/>
      <c r="F21" s="12" t="n"/>
      <c r="G21" s="12" t="n"/>
      <c r="H21" s="12" t="n"/>
    </row>
    <row r="22">
      <c r="A22" s="19">
        <f>opt_PutCallVolRatio("NVDA")</f>
        <v/>
      </c>
      <c r="B22" s="12" t="n"/>
      <c r="C22" s="20" t="inlineStr">
        <is>
          <t>Side split, aggregated by sector</t>
        </is>
      </c>
      <c r="D22" s="12" t="n"/>
      <c r="E22" s="12" t="n"/>
      <c r="F22" s="12" t="n"/>
      <c r="G22" s="12" t="n"/>
      <c r="H22" s="12" t="n"/>
    </row>
    <row r="23">
      <c r="A23" s="19">
        <f>ImpliedVolatilityRank1y("NVDA")</f>
        <v/>
      </c>
      <c r="B23" s="12" t="n"/>
      <c r="C23" s="20" t="inlineStr">
        <is>
          <t>Averaged into the sector IV rank column</t>
        </is>
      </c>
      <c r="D23" s="12" t="n"/>
      <c r="E23" s="12" t="n"/>
      <c r="F23" s="12" t="n"/>
      <c r="G23" s="12" t="n"/>
      <c r="H23" s="12" t="n"/>
    </row>
    <row r="25">
      <c r="A25" s="21" t="inlineStr">
        <is>
          <t>MarketXLS: https://marketxls.com    |    Book a demo: https://marketxls.com/book-demo</t>
        </is>
      </c>
    </row>
  </sheetData>
  <mergeCells count="15">
    <mergeCell ref="A18:H18"/>
    <mergeCell ref="A20:B20"/>
    <mergeCell ref="A21:B21"/>
    <mergeCell ref="C19:H19"/>
    <mergeCell ref="A25:H25"/>
    <mergeCell ref="A15:H16"/>
    <mergeCell ref="A19:B19"/>
    <mergeCell ref="A2:H2"/>
    <mergeCell ref="C22:H22"/>
    <mergeCell ref="A23:B23"/>
    <mergeCell ref="C23:H23"/>
    <mergeCell ref="A1:H1"/>
    <mergeCell ref="C21:H21"/>
    <mergeCell ref="A22:B22"/>
    <mergeCell ref="C20:H20"/>
  </mergeCells>
  <conditionalFormatting sqref="E5:E7">
    <cfRule type="dataBar" priority="1">
      <dataBar>
        <cfvo type="num" val="0"/>
        <cfvo type="num" val="4"/>
        <color rgb="000066CC"/>
      </dataBar>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MarketXLS</dc:creator>
  <dc:title>Unusual Options Activity Excel Scanner</dc:title>
  <dc:description>Ranks unusual options activity by relative options volume and volume against open interest, with a documented 0-100 composite score. https://marketxls.com</dc:description>
  <dcterms:created xsi:type="dcterms:W3CDTF">2026-08-15T20:55:46Z</dcterms:created>
  <dcterms:modified xsi:type="dcterms:W3CDTF">2026-08-15T20:55:46Z</dcterms:modified>
</cp:coreProperties>
</file>