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omments/comment2.xml" ContentType="application/vnd.openxmlformats-officedocument.spreadsheetml.comments+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1" autoFilterDateGrouping="1"/>
  </bookViews>
  <sheets>
    <sheet name="How To Use" sheetId="1" state="visible" r:id="rId1"/>
    <sheet name="Main Dashboard" sheetId="2" state="visible" r:id="rId2"/>
    <sheet name="Four Positions" sheetId="3" state="visible" r:id="rId3"/>
    <sheet name="Payoff Ladder" sheetId="4" state="visible" r:id="rId4"/>
    <sheet name="Scenario Analysis" sheetId="5" state="visible" r:id="rId5"/>
    <sheet name="Probability &amp; Sizing" sheetId="6" state="visible" r:id="rId6"/>
    <sheet name="Greeks Lab" sheetId="7" state="visible" r:id="rId7"/>
    <sheet name="Strike Ladder" sheetId="8" state="visible" r:id="rId8"/>
  </sheets>
  <definedNames/>
  <calcPr calcId="124519" fullCalcOnLoad="1"/>
</workbook>
</file>

<file path=xl/styles.xml><?xml version="1.0" encoding="utf-8"?>
<styleSheet xmlns="http://schemas.openxmlformats.org/spreadsheetml/2006/main">
  <numFmts count="5">
    <numFmt numFmtId="164" formatCode="&quot;$&quot;#,##0.00"/>
    <numFmt numFmtId="165" formatCode="yyyy-mm-dd"/>
    <numFmt numFmtId="166" formatCode="#,##0.0000"/>
    <numFmt numFmtId="167" formatCode="0.0%"/>
    <numFmt numFmtId="168" formatCode="&quot;$&quot;#,##0"/>
  </numFmts>
  <fonts count="19">
    <font>
      <name val="Calibri"/>
      <family val="2"/>
      <color theme="1"/>
      <sz val="11"/>
      <scheme val="minor"/>
    </font>
    <font>
      <b val="1"/>
      <color rgb="00FFFFFF"/>
      <sz val="16"/>
    </font>
    <font>
      <i val="1"/>
      <color rgb="00FFFFFF"/>
      <sz val="10"/>
    </font>
    <font>
      <b val="1"/>
      <color rgb="00003366"/>
      <sz val="11"/>
    </font>
    <font>
      <sz val="10"/>
    </font>
    <font>
      <b val="1"/>
      <sz val="10"/>
    </font>
    <font>
      <b val="1"/>
      <color rgb="00FFFFFF"/>
      <sz val="10"/>
    </font>
    <font>
      <name val="Consolas"/>
      <color rgb="00003366"/>
      <sz val="9"/>
    </font>
    <font>
      <color rgb="005B6670"/>
      <sz val="9"/>
    </font>
    <font>
      <i val="1"/>
      <color rgb="00FFFFFF"/>
      <sz val="9"/>
    </font>
    <font>
      <b val="1"/>
      <sz val="11"/>
    </font>
    <font>
      <b val="1"/>
      <color rgb="00000000"/>
      <sz val="10"/>
    </font>
    <font>
      <color rgb="00000000"/>
      <sz val="10"/>
    </font>
    <font>
      <b val="1"/>
      <color rgb="00C0392B"/>
      <sz val="10"/>
    </font>
    <font>
      <b val="1"/>
      <color rgb="001E8449"/>
      <sz val="10"/>
    </font>
    <font>
      <i val="1"/>
      <color rgb="005B6670"/>
      <sz val="9"/>
    </font>
    <font>
      <color rgb="001E8449"/>
      <sz val="10"/>
    </font>
    <font>
      <color rgb="00C0392B"/>
      <sz val="10"/>
    </font>
    <font>
      <i val="1"/>
      <sz val="10"/>
    </font>
  </fonts>
  <fills count="7">
    <fill>
      <patternFill/>
    </fill>
    <fill>
      <patternFill patternType="gray125"/>
    </fill>
    <fill>
      <patternFill patternType="solid">
        <fgColor rgb="00003366"/>
      </patternFill>
    </fill>
    <fill>
      <patternFill patternType="solid">
        <fgColor rgb="000066CC"/>
      </patternFill>
    </fill>
    <fill>
      <patternFill patternType="solid">
        <fgColor rgb="00EEF4FB"/>
      </patternFill>
    </fill>
    <fill>
      <patternFill patternType="solid">
        <fgColor rgb="00FFFF00"/>
      </patternFill>
    </fill>
    <fill>
      <patternFill patternType="solid">
        <fgColor rgb="00F4F6F8"/>
      </patternFill>
    </fill>
  </fills>
  <borders count="3">
    <border>
      <left/>
      <right/>
      <top/>
      <bottom/>
      <diagonal/>
    </border>
    <border>
      <left style="thin">
        <color rgb="00D9DEE4"/>
      </left>
      <right style="thin">
        <color rgb="00D9DEE4"/>
      </right>
      <top style="thin">
        <color rgb="00D9DEE4"/>
      </top>
      <bottom style="thin">
        <color rgb="00D9DEE4"/>
      </bottom>
    </border>
    <border>
      <left style="medium">
        <color rgb="00003366"/>
      </left>
      <right style="medium">
        <color rgb="00003366"/>
      </right>
      <top style="medium">
        <color rgb="00003366"/>
      </top>
      <bottom style="medium">
        <color rgb="00003366"/>
      </bottom>
    </border>
  </borders>
  <cellStyleXfs count="1">
    <xf numFmtId="0" fontId="0" fillId="0" borderId="0"/>
  </cellStyleXfs>
  <cellXfs count="53">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4" borderId="0" applyAlignment="1" pivotButton="0" quotePrefix="0" xfId="0">
      <alignment horizontal="left" vertical="center" indent="1"/>
    </xf>
    <xf numFmtId="0" fontId="4" fillId="0" borderId="0" applyAlignment="1" pivotButton="0" quotePrefix="0" xfId="0">
      <alignment horizontal="left" vertical="top" wrapText="1"/>
    </xf>
    <xf numFmtId="0" fontId="5" fillId="0" borderId="1" applyAlignment="1" pivotButton="0" quotePrefix="0" xfId="0">
      <alignment horizontal="left" vertical="center" wrapText="1" indent="1"/>
    </xf>
    <xf numFmtId="0" fontId="4" fillId="0" borderId="1" applyAlignment="1" pivotButton="0" quotePrefix="0" xfId="0">
      <alignment horizontal="left" vertical="center" wrapText="1" indent="1"/>
    </xf>
    <xf numFmtId="0" fontId="6" fillId="3" borderId="1" applyAlignment="1" pivotButton="0" quotePrefix="0" xfId="0">
      <alignment horizontal="center" vertical="center" wrapText="1"/>
    </xf>
    <xf numFmtId="0" fontId="7" fillId="0" borderId="1" applyAlignment="1" pivotButton="0" quotePrefix="0" xfId="0">
      <alignment horizontal="left" vertical="center" indent="1"/>
    </xf>
    <xf numFmtId="0" fontId="8" fillId="0" borderId="1" applyAlignment="1" pivotButton="0" quotePrefix="0" xfId="0">
      <alignment horizontal="left" vertical="center" indent="1"/>
    </xf>
    <xf numFmtId="0" fontId="9" fillId="2" borderId="0" applyAlignment="1" pivotButton="0" quotePrefix="0" xfId="0">
      <alignment horizontal="center" vertical="center"/>
    </xf>
    <xf numFmtId="0" fontId="10" fillId="5" borderId="2" applyAlignment="1" pivotButton="0" quotePrefix="0" xfId="0">
      <alignment horizontal="right" vertical="center"/>
    </xf>
    <xf numFmtId="0" fontId="8" fillId="0" borderId="0" pivotButton="0" quotePrefix="0" xfId="0"/>
    <xf numFmtId="166" fontId="11" fillId="0" borderId="1" applyAlignment="1" pivotButton="0" quotePrefix="0" xfId="0">
      <alignment horizontal="right" vertical="center"/>
    </xf>
    <xf numFmtId="0" fontId="8" fillId="0" borderId="0" applyAlignment="1" pivotButton="0" quotePrefix="0" xfId="0">
      <alignment horizontal="left" vertical="center" wrapText="1"/>
    </xf>
    <xf numFmtId="164" fontId="10" fillId="5" borderId="2" applyAlignment="1" pivotButton="0" quotePrefix="0" xfId="0">
      <alignment horizontal="right" vertical="center"/>
    </xf>
    <xf numFmtId="165" fontId="10" fillId="5" borderId="2" applyAlignment="1" pivotButton="0" quotePrefix="0" xfId="0">
      <alignment horizontal="right" vertical="center"/>
    </xf>
    <xf numFmtId="3" fontId="11" fillId="0" borderId="1" applyAlignment="1" pivotButton="0" quotePrefix="0" xfId="0">
      <alignment horizontal="right" vertical="center"/>
    </xf>
    <xf numFmtId="4" fontId="11" fillId="0" borderId="1" applyAlignment="1" pivotButton="0" quotePrefix="0" xfId="0">
      <alignment horizontal="right" vertical="center"/>
    </xf>
    <xf numFmtId="3" fontId="10" fillId="5" borderId="2" applyAlignment="1" pivotButton="0" quotePrefix="0" xfId="0">
      <alignment horizontal="right" vertical="center"/>
    </xf>
    <xf numFmtId="164" fontId="11" fillId="0" borderId="1" applyAlignment="1" pivotButton="0" quotePrefix="0" xfId="0">
      <alignment horizontal="right" vertical="center"/>
    </xf>
    <xf numFmtId="10" fontId="11" fillId="0" borderId="1" applyAlignment="1" pivotButton="0" quotePrefix="0" xfId="0">
      <alignment horizontal="right" vertical="center"/>
    </xf>
    <xf numFmtId="10" fontId="10" fillId="5" borderId="2" applyAlignment="1" pivotButton="0" quotePrefix="0" xfId="0">
      <alignment horizontal="right" vertical="center"/>
    </xf>
    <xf numFmtId="0" fontId="12" fillId="0" borderId="1" applyAlignment="1" pivotButton="0" quotePrefix="0" xfId="0">
      <alignment horizontal="right" vertical="center"/>
    </xf>
    <xf numFmtId="4" fontId="12" fillId="0" borderId="1" applyAlignment="1" pivotButton="0" quotePrefix="0" xfId="0">
      <alignment horizontal="right" vertical="center"/>
    </xf>
    <xf numFmtId="168" fontId="12" fillId="0" borderId="1" applyAlignment="1" pivotButton="0" quotePrefix="0" xfId="0">
      <alignment horizontal="right" vertical="center"/>
    </xf>
    <xf numFmtId="0" fontId="7" fillId="0" borderId="1" applyAlignment="1" pivotButton="0" quotePrefix="0" xfId="0">
      <alignment horizontal="left" vertical="center" wrapText="1"/>
    </xf>
    <xf numFmtId="3" fontId="12" fillId="0" borderId="1" applyAlignment="1" pivotButton="0" quotePrefix="0" xfId="0">
      <alignment horizontal="right" vertical="center"/>
    </xf>
    <xf numFmtId="10" fontId="12" fillId="0" borderId="1" applyAlignment="1" pivotButton="0" quotePrefix="0" xfId="0">
      <alignment horizontal="right" vertical="center"/>
    </xf>
    <xf numFmtId="165" fontId="12" fillId="0" borderId="1" applyAlignment="1" pivotButton="0" quotePrefix="0" xfId="0">
      <alignment horizontal="right" vertical="center"/>
    </xf>
    <xf numFmtId="164" fontId="13" fillId="0" borderId="1" applyAlignment="1" pivotButton="0" quotePrefix="0" xfId="0">
      <alignment horizontal="right" vertical="center"/>
    </xf>
    <xf numFmtId="0" fontId="14" fillId="0" borderId="1" applyAlignment="1" pivotButton="0" quotePrefix="0" xfId="0">
      <alignment horizontal="right" vertical="center"/>
    </xf>
    <xf numFmtId="167" fontId="14" fillId="0" borderId="1" applyAlignment="1" pivotButton="0" quotePrefix="0" xfId="0">
      <alignment horizontal="right" vertical="center"/>
    </xf>
    <xf numFmtId="168" fontId="11" fillId="0" borderId="1" applyAlignment="1" pivotButton="0" quotePrefix="0" xfId="0">
      <alignment horizontal="right" vertical="center"/>
    </xf>
    <xf numFmtId="0" fontId="15" fillId="0" borderId="0" applyAlignment="1" pivotButton="0" quotePrefix="0" xfId="0">
      <alignment horizontal="left" vertical="top" wrapText="1"/>
    </xf>
    <xf numFmtId="164" fontId="12" fillId="0" borderId="1" applyAlignment="1" pivotButton="0" quotePrefix="0" xfId="0">
      <alignment horizontal="right" vertical="center"/>
    </xf>
    <xf numFmtId="0" fontId="16" fillId="0" borderId="1" applyAlignment="1" pivotButton="0" quotePrefix="0" xfId="0">
      <alignment horizontal="right" vertical="center"/>
    </xf>
    <xf numFmtId="164" fontId="16" fillId="0" borderId="1" applyAlignment="1" pivotButton="0" quotePrefix="0" xfId="0">
      <alignment horizontal="right" vertical="center"/>
    </xf>
    <xf numFmtId="164" fontId="17" fillId="0" borderId="1" applyAlignment="1" pivotButton="0" quotePrefix="0" xfId="0">
      <alignment horizontal="right" vertical="center"/>
    </xf>
    <xf numFmtId="167" fontId="11" fillId="0" borderId="1" applyAlignment="1" pivotButton="0" quotePrefix="0" xfId="0">
      <alignment horizontal="right" vertical="center"/>
    </xf>
    <xf numFmtId="164" fontId="11" fillId="6" borderId="1" applyAlignment="1" pivotButton="0" quotePrefix="0" xfId="0">
      <alignment horizontal="right" vertical="center"/>
    </xf>
    <xf numFmtId="10" fontId="12" fillId="6" borderId="1" applyAlignment="1" pivotButton="0" quotePrefix="0" xfId="0">
      <alignment horizontal="right" vertical="center"/>
    </xf>
    <xf numFmtId="164" fontId="17" fillId="6" borderId="1" applyAlignment="1" pivotButton="0" quotePrefix="0" xfId="0">
      <alignment horizontal="right" vertical="center"/>
    </xf>
    <xf numFmtId="164" fontId="16" fillId="6" borderId="1" applyAlignment="1" pivotButton="0" quotePrefix="0" xfId="0">
      <alignment horizontal="right" vertical="center"/>
    </xf>
    <xf numFmtId="0" fontId="8" fillId="6" borderId="0" applyAlignment="1" pivotButton="0" quotePrefix="0" xfId="0">
      <alignment horizontal="left" vertical="center" wrapText="1"/>
    </xf>
    <xf numFmtId="167" fontId="12" fillId="0" borderId="1" applyAlignment="1" pivotButton="0" quotePrefix="0" xfId="0">
      <alignment horizontal="right" vertical="center"/>
    </xf>
    <xf numFmtId="0" fontId="18" fillId="0" borderId="0" applyAlignment="1" pivotButton="0" quotePrefix="0" xfId="0">
      <alignment horizontal="left" vertical="top" wrapText="1"/>
    </xf>
    <xf numFmtId="168" fontId="10" fillId="5" borderId="2" applyAlignment="1" pivotButton="0" quotePrefix="0" xfId="0">
      <alignment horizontal="right" vertical="center"/>
    </xf>
    <xf numFmtId="167" fontId="10" fillId="5" borderId="2" applyAlignment="1" pivotButton="0" quotePrefix="0" xfId="0">
      <alignment horizontal="right" vertical="center"/>
    </xf>
    <xf numFmtId="3" fontId="13" fillId="0" borderId="1" applyAlignment="1" pivotButton="0" quotePrefix="0" xfId="0">
      <alignment horizontal="right" vertical="center"/>
    </xf>
    <xf numFmtId="0" fontId="15" fillId="0" borderId="0" applyAlignment="1" pivotButton="0" quotePrefix="0" xfId="0">
      <alignment horizontal="left" vertical="center" wrapText="1"/>
    </xf>
    <xf numFmtId="166" fontId="12" fillId="0" borderId="1" applyAlignment="1" pivotButton="0" quotePrefix="0" xfId="0">
      <alignment horizontal="right" vertical="center"/>
    </xf>
    <xf numFmtId="165" fontId="11" fillId="0" borderId="1" applyAlignment="1" pivotButton="0" quotePrefix="0" xfId="0">
      <alignment horizontal="right" vertical="center"/>
    </xf>
  </cellXfs>
  <cellStyles count="1">
    <cellStyle name="Normal" xfId="0" builtinId="0" hidden="0"/>
  </cellStyles>
  <dxfs count="1">
    <dxf>
      <font>
        <b val="1"/>
        <color rgb="00C0392B"/>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styles" Target="styles.xml" Id="rId9" /><Relationship Type="http://schemas.openxmlformats.org/officeDocument/2006/relationships/theme" Target="theme/theme1.xml" Id="rId10" /></Relationships>
</file>

<file path=xl/comments/comment1.xml><?xml version="1.0" encoding="utf-8"?>
<comments xmlns="http://schemas.openxmlformats.org/spreadsheetml/2006/main">
  <authors>
    <author>MarketXLS</author>
  </authors>
  <commentList>
    <comment ref="B5" authorId="0" shapeId="0">
      <text>
        <t>Any optionable US ticker.</t>
      </text>
    </comment>
    <comment ref="E5" authorId="0" shapeId="0">
      <text>
        <t>Change in option value for a $1 move in the stock.</t>
      </text>
    </comment>
    <comment ref="B6" authorId="0" shapeId="0">
      <text>
        <t>Long Call, Long Put, Cash-Secured Put or Covered Call.</t>
      </text>
    </comment>
    <comment ref="E6" authorId="0" shapeId="0">
      <text>
        <t>Change in delta for a $1 move in the stock.</t>
      </text>
    </comment>
    <comment ref="B7" authorId="0" shapeId="0">
      <text>
        <t>Live in the template workbook, static in the sample.</t>
      </text>
    </comment>
    <comment ref="E7" authorId="0" shapeId="0">
      <text>
        <t>Value lost to one day of time passing.</t>
      </text>
    </comment>
    <comment ref="B8" authorId="0" shapeId="0">
      <text>
        <t>The contract strike.</t>
      </text>
    </comment>
    <comment ref="E8" authorId="0" shapeId="0">
      <text>
        <t>Value change for a one point move in implied volatility.</t>
      </text>
    </comment>
    <comment ref="B9" authorId="0" shapeId="0">
      <text>
        <t>Contract expiration date.</t>
      </text>
    </comment>
    <comment ref="E9" authorId="0" shapeId="0">
      <text>
        <t>Value change for a one point move in the risk-free rate.</t>
      </text>
    </comment>
    <comment ref="B11" authorId="0" shapeId="0">
      <text>
        <t>Each contract covers 100 shares.</t>
      </text>
    </comment>
    <comment ref="B12" authorId="0" shapeId="0">
      <text>
        <t>Ask if you are buying, bid if you are selling.</t>
      </text>
    </comment>
    <comment ref="B14" authorId="0" shapeId="0">
      <text>
        <t>TreasuryRate10y() returns the 10-year. A 34-day option wants a bill rate, so this stays a manual input.</t>
      </text>
    </comment>
    <comment ref="B16" authorId="0" shapeId="0">
      <text>
        <t>Kept visible because it moves the breakeven.</t>
      </text>
    </comment>
  </commentList>
</comments>
</file>

<file path=xl/comments/comment2.xml><?xml version="1.0" encoding="utf-8"?>
<comments xmlns="http://schemas.openxmlformats.org/spreadsheetml/2006/main">
  <authors>
    <author>MarketXLS</author>
  </authors>
  <commentList>
    <comment ref="B13" authorId="0" shapeId="0">
      <text>
        <t>Your account value.</t>
      </text>
    </comment>
    <comment ref="B14" authorId="0" shapeId="0">
      <text>
        <t>Percent of the account you accept losing.</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_rels/sheet6.xml.rels><Relationships xmlns="http://schemas.openxmlformats.org/package/2006/relationships"><Relationship Type="http://schemas.openxmlformats.org/officeDocument/2006/relationships/comments" Target="/xl/comments/comment2.xml" Id="comments" /><Relationship Type="http://schemas.openxmlformats.org/officeDocument/2006/relationships/vmlDrawing" Target="/xl/drawings/commentsDrawing2.vml" Id="anysvml" /></Relationships>
</file>

<file path=xl/worksheets/sheet1.xml><?xml version="1.0" encoding="utf-8"?>
<worksheet xmlns="http://schemas.openxmlformats.org/spreadsheetml/2006/main">
  <sheetPr>
    <tabColor rgb="00003366"/>
    <outlinePr summaryBelow="1" summaryRight="1"/>
    <pageSetUpPr/>
  </sheetPr>
  <dimension ref="A1:D50"/>
  <sheetViews>
    <sheetView workbookViewId="0">
      <pane ySplit="3" topLeftCell="A4" activePane="bottomLeft" state="frozen"/>
      <selection pane="bottomLeft" activeCell="A1" sqref="A1"/>
    </sheetView>
  </sheetViews>
  <sheetFormatPr baseColWidth="8" defaultRowHeight="15"/>
  <cols>
    <col width="26" customWidth="1" min="1" max="1"/>
    <col width="62" customWidth="1" min="2" max="2"/>
    <col width="30" customWidth="1" min="3" max="3"/>
    <col width="24" customWidth="1" min="4" max="4"/>
  </cols>
  <sheetData>
    <row r="1" ht="30" customHeight="1">
      <c r="A1" s="1" t="inlineStr">
        <is>
          <t>Stock Option Profit Calculator</t>
        </is>
      </c>
    </row>
    <row r="2" ht="20" customHeight="1">
      <c r="A2" s="2" t="inlineStr">
        <is>
          <t>Live MarketXLS formula workbook</t>
        </is>
      </c>
    </row>
    <row r="4" ht="22" customHeight="1">
      <c r="A4" s="3" t="inlineStr">
        <is>
          <t>What this workbook does</t>
        </is>
      </c>
    </row>
    <row r="5" ht="46" customHeight="1">
      <c r="A5" s="4" t="inlineStr">
        <is>
          <t>A stock option profit calculator has to answer five questions: what the position costs, where it breaks even, what it can make, what it can lose, and how likely each outcome is. This workbook answers all five for four different single-leg positions on the same underlying, so the choice between them is made on numbers rather than on habit. Nothing here is a recommendation to trade. It is a model of positions you describe to it.</t>
        </is>
      </c>
    </row>
    <row r="6"/>
    <row r="7"/>
    <row r="8" ht="22" customHeight="1">
      <c r="A8" s="3" t="inlineStr">
        <is>
          <t>Quick start</t>
        </is>
      </c>
    </row>
    <row r="9">
      <c r="A9" s="5" t="inlineStr">
        <is>
          <t>Step 1</t>
        </is>
      </c>
      <c r="B9" s="6" t="inlineStr">
        <is>
          <t>Open the Main Dashboard sheet.</t>
        </is>
      </c>
    </row>
    <row r="10">
      <c r="A10" s="5" t="inlineStr">
        <is>
          <t>Step 2</t>
        </is>
      </c>
      <c r="B10" s="6" t="inlineStr">
        <is>
          <t>Choose a position type from the yellow dropdown in cell B6.</t>
        </is>
      </c>
    </row>
    <row r="11">
      <c r="A11" s="5" t="inlineStr">
        <is>
          <t>Step 3</t>
        </is>
      </c>
      <c r="B11" s="6" t="inlineStr">
        <is>
          <t>Type your ticker in cell B5.</t>
        </is>
      </c>
    </row>
    <row r="12">
      <c r="A12" s="5" t="inlineStr">
        <is>
          <t>Step 4</t>
        </is>
      </c>
      <c r="B12" s="6" t="inlineStr">
        <is>
          <t>Enter the strike and the expiry date in cells B8 and B9.</t>
        </is>
      </c>
    </row>
    <row r="13">
      <c r="A13" s="5" t="inlineStr">
        <is>
          <t>Step 5</t>
        </is>
      </c>
      <c r="B13" s="6" t="inlineStr">
        <is>
          <t>Enter the premium you pay or receive in cell B12.</t>
        </is>
      </c>
    </row>
    <row r="14">
      <c r="A14" s="5" t="inlineStr">
        <is>
          <t>Step 6</t>
        </is>
      </c>
      <c r="B14" s="6" t="inlineStr">
        <is>
          <t>Enter your contract count in cell B11.</t>
        </is>
      </c>
    </row>
    <row r="15">
      <c r="A15" s="5" t="inlineStr">
        <is>
          <t>Step 7</t>
        </is>
      </c>
      <c r="B15" s="6" t="inlineStr">
        <is>
          <t>Read the breakeven, maximum loss and probability of profit in column B.</t>
        </is>
      </c>
    </row>
    <row r="16">
      <c r="A16" s="5" t="inlineStr">
        <is>
          <t>Step 8</t>
        </is>
      </c>
      <c r="B16" s="6" t="inlineStr">
        <is>
          <t>Open the Four Positions sheet to compare the four structures.</t>
        </is>
      </c>
    </row>
    <row r="17">
      <c r="A17" s="5" t="inlineStr">
        <is>
          <t>Step 9</t>
        </is>
      </c>
      <c r="B17" s="6" t="inlineStr">
        <is>
          <t>Open the Probability &amp; Sizing sheet to size the trade against your account.</t>
        </is>
      </c>
    </row>
    <row r="19" ht="22" customHeight="1">
      <c r="A19" s="3" t="inlineStr">
        <is>
          <t>Sheet guide</t>
        </is>
      </c>
    </row>
    <row r="20" ht="30" customHeight="1">
      <c r="A20" s="7" t="inlineStr">
        <is>
          <t>Sheet</t>
        </is>
      </c>
      <c r="B20" s="7" t="inlineStr">
        <is>
          <t>What it is for</t>
        </is>
      </c>
      <c r="C20" s="7" t="inlineStr">
        <is>
          <t>Key inputs</t>
        </is>
      </c>
      <c r="D20" s="7" t="inlineStr">
        <is>
          <t>Reads from</t>
        </is>
      </c>
    </row>
    <row r="21" ht="46" customHeight="1">
      <c r="A21" s="5" t="inlineStr">
        <is>
          <t>Main Dashboard</t>
        </is>
      </c>
      <c r="B21" s="6" t="inlineStr">
        <is>
          <t>Pick the position type in the yellow dropdown, then set ticker, strike, expiry, premium and contract count. Everything downstream follows from these cells. The premium cell wants the price you actually trade at: the ask when you buy, the bid when you sell.</t>
        </is>
      </c>
      <c r="C21" s="6" t="inlineStr">
        <is>
          <t>Yellow cells only</t>
        </is>
      </c>
      <c r="D21" s="6" t="inlineStr">
        <is>
          <t>Direct entry</t>
        </is>
      </c>
    </row>
    <row r="22" ht="46" customHeight="1">
      <c r="A22" s="5" t="inlineStr">
        <is>
          <t>Four Positions</t>
        </is>
      </c>
      <c r="B22" s="6" t="inlineStr">
        <is>
          <t>The same stock and the same expiry expressed four ways. Compare capital at risk, breakeven, maximum profit, maximum loss and probability of profit side by side before you commit to one of them.</t>
        </is>
      </c>
      <c r="C22" s="6" t="inlineStr">
        <is>
          <t>None, all derived</t>
        </is>
      </c>
      <c r="D22" s="6" t="inlineStr">
        <is>
          <t>Main Dashboard</t>
        </is>
      </c>
    </row>
    <row r="23" ht="46" customHeight="1">
      <c r="A23" s="5" t="inlineStr">
        <is>
          <t>Payoff Ladder</t>
        </is>
      </c>
      <c r="B23" s="6" t="inlineStr">
        <is>
          <t>Profit and loss at expiry for all four positions across a ladder of underlying prices. This is the sheet that shows why a long call and a short put are not the same trade even when both are bullish.</t>
        </is>
      </c>
      <c r="C23" s="6" t="inlineStr">
        <is>
          <t>None, all derived</t>
        </is>
      </c>
      <c r="D23" s="6" t="inlineStr">
        <is>
          <t>Main Dashboard</t>
        </is>
      </c>
    </row>
    <row r="24" ht="46" customHeight="1">
      <c r="A24" s="5" t="inlineStr">
        <is>
          <t>Scenario Analysis</t>
        </is>
      </c>
      <c r="B24" s="6" t="inlineStr">
        <is>
          <t>A price-by-time grid for the selected position. It values the contract on day 7, 14, 21, 28 and at expiry, which is where positions are actually closed, rather than only on the final day.</t>
        </is>
      </c>
      <c r="C24" s="6" t="inlineStr">
        <is>
          <t>None, all derived</t>
        </is>
      </c>
      <c r="D24" s="6" t="inlineStr">
        <is>
          <t>Main Dashboard</t>
        </is>
      </c>
    </row>
    <row r="25" ht="46" customHeight="1">
      <c r="A25" s="5" t="inlineStr">
        <is>
          <t>Probability &amp; Sizing</t>
        </is>
      </c>
      <c r="B25" s="6" t="inlineStr">
        <is>
          <t>Probability of profit, expected value at expiry, and a position size derived from your portfolio value and the percentage you are willing to lose on one idea.</t>
        </is>
      </c>
      <c r="C25" s="6" t="inlineStr">
        <is>
          <t>None, all derived</t>
        </is>
      </c>
      <c r="D25" s="6" t="inlineStr">
        <is>
          <t>Main Dashboard</t>
        </is>
      </c>
    </row>
    <row r="26" ht="46" customHeight="1">
      <c r="A26" s="5" t="inlineStr">
        <is>
          <t>Greeks Lab</t>
        </is>
      </c>
      <c r="B26" s="6" t="inlineStr">
        <is>
          <t>Delta, gamma, theta, vega and rho for the selected contract, plus the same Greeks across the strike ladder so you can see how they change as you move away from the money.</t>
        </is>
      </c>
      <c r="C26" s="6" t="inlineStr">
        <is>
          <t>None, all derived</t>
        </is>
      </c>
      <c r="D26" s="6" t="inlineStr">
        <is>
          <t>Main Dashboard</t>
        </is>
      </c>
    </row>
    <row r="27" ht="46" customHeight="1">
      <c r="A27" s="5" t="inlineStr">
        <is>
          <t>Strike Ladder</t>
        </is>
      </c>
      <c r="B27" s="6" t="inlineStr">
        <is>
          <t>Live call and put quotes around the money with open interest, volume and implied volatility, so strike selection is a data decision.</t>
        </is>
      </c>
      <c r="C27" s="6" t="inlineStr">
        <is>
          <t>None, all derived</t>
        </is>
      </c>
      <c r="D27" s="6" t="inlineStr">
        <is>
          <t>Main Dashboard</t>
        </is>
      </c>
    </row>
    <row r="29" ht="22" customHeight="1">
      <c r="A29" s="3" t="inlineStr">
        <is>
          <t>The four position types</t>
        </is>
      </c>
    </row>
    <row r="30" ht="30" customHeight="1">
      <c r="A30" s="7" t="inlineStr">
        <is>
          <t>Position</t>
        </is>
      </c>
      <c r="B30" s="7" t="inlineStr">
        <is>
          <t>View it expresses</t>
        </is>
      </c>
      <c r="C30" s="7" t="inlineStr">
        <is>
          <t>Maximum profit</t>
        </is>
      </c>
      <c r="D30" s="7" t="inlineStr">
        <is>
          <t>Maximum loss</t>
        </is>
      </c>
    </row>
    <row r="31" ht="32" customHeight="1">
      <c r="A31" s="5" t="inlineStr">
        <is>
          <t>Long Call</t>
        </is>
      </c>
      <c r="B31" s="6" t="inlineStr">
        <is>
          <t>Up, and soon enough to beat time decay</t>
        </is>
      </c>
      <c r="C31" s="6" t="inlineStr">
        <is>
          <t>No defined ceiling</t>
        </is>
      </c>
      <c r="D31" s="6" t="inlineStr">
        <is>
          <t>The premium paid</t>
        </is>
      </c>
    </row>
    <row r="32" ht="32" customHeight="1">
      <c r="A32" s="5" t="inlineStr">
        <is>
          <t>Long Put</t>
        </is>
      </c>
      <c r="B32" s="6" t="inlineStr">
        <is>
          <t>Down, or a hedge on shares you hold</t>
        </is>
      </c>
      <c r="C32" s="6" t="inlineStr">
        <is>
          <t>Strike less premium, floored at a zero share price</t>
        </is>
      </c>
      <c r="D32" s="6" t="inlineStr">
        <is>
          <t>The premium paid</t>
        </is>
      </c>
    </row>
    <row r="33" ht="32" customHeight="1">
      <c r="A33" s="5" t="inlineStr">
        <is>
          <t>Cash-Secured Put</t>
        </is>
      </c>
      <c r="B33" s="6" t="inlineStr">
        <is>
          <t>Flat to up, or willing to own at the strike</t>
        </is>
      </c>
      <c r="C33" s="6" t="inlineStr">
        <is>
          <t>The premium received</t>
        </is>
      </c>
      <c r="D33" s="6" t="inlineStr">
        <is>
          <t>Breakeven times shares, at a zero share price</t>
        </is>
      </c>
    </row>
    <row r="34" ht="32" customHeight="1">
      <c r="A34" s="5" t="inlineStr">
        <is>
          <t>Covered Call</t>
        </is>
      </c>
      <c r="B34" s="6" t="inlineStr">
        <is>
          <t>Flat to mildly up on shares you already own</t>
        </is>
      </c>
      <c r="C34" s="6" t="inlineStr">
        <is>
          <t>Strike less cost basis plus premium</t>
        </is>
      </c>
      <c r="D34" s="6" t="inlineStr">
        <is>
          <t>Breakeven times shares, at a zero share price</t>
        </is>
      </c>
    </row>
    <row r="36" ht="22" customHeight="1">
      <c r="A36" s="3" t="inlineStr">
        <is>
          <t>Reading the numbers honestly</t>
        </is>
      </c>
    </row>
    <row r="37" ht="32" customHeight="1">
      <c r="A37" s="5" t="inlineStr">
        <is>
          <t>Premium side matters</t>
        </is>
      </c>
      <c r="B37" s="6" t="inlineStr">
        <is>
          <t>Buyers pay the ask and sellers receive the bid. Modelling both at the mid quote flatters every result in this workbook by roughly half the spread.</t>
        </is>
      </c>
    </row>
    <row r="38" ht="32" customHeight="1">
      <c r="A38" s="5" t="inlineStr">
        <is>
          <t>Implied volatility is solved, not copied</t>
        </is>
      </c>
      <c r="B38" s="6" t="inlineStr">
        <is>
          <t>The workbook backs implied volatility out of the premium you entered, so the model value and your fill agree.</t>
        </is>
      </c>
    </row>
    <row r="39" ht="32" customHeight="1">
      <c r="A39" s="5" t="inlineStr">
        <is>
          <t>Probability is risk-neutral</t>
        </is>
      </c>
      <c r="B39" s="6" t="inlineStr">
        <is>
          <t>Probability of profit here comes from the lognormal model that prices the option. It is a pricing statistic, not a forecast.</t>
        </is>
      </c>
    </row>
    <row r="40" ht="32" customHeight="1">
      <c r="A40" s="5" t="inlineStr">
        <is>
          <t>Commissions move the breakeven</t>
        </is>
      </c>
      <c r="B40" s="6" t="inlineStr">
        <is>
          <t>They are small, and they are still in every breakeven on every sheet.</t>
        </is>
      </c>
    </row>
    <row r="42" ht="22" customHeight="1">
      <c r="A42" s="3" t="inlineStr">
        <is>
          <t>MarketXLS Functions Used in This Sheet</t>
        </is>
      </c>
    </row>
    <row r="43">
      <c r="A43" s="8">
        <f>QM_Last("MSFT")</f>
        <v/>
      </c>
      <c r="B43" s="9" t="inlineStr">
        <is>
          <t>Underlying last price feeding every sheet</t>
        </is>
      </c>
    </row>
    <row r="44">
      <c r="A44" s="8">
        <f>OptionSymbol("MSFT",DATE(2026,9,18),"Call",500)</f>
        <v/>
      </c>
      <c r="B44" s="9" t="inlineStr">
        <is>
          <t>Builds the contract symbol the option functions need</t>
        </is>
      </c>
    </row>
    <row r="45">
      <c r="A45" s="8">
        <f>Option_Ask(symbol)</f>
        <v/>
      </c>
      <c r="B45" s="9" t="inlineStr">
        <is>
          <t>Ask price, what a buyer pays</t>
        </is>
      </c>
    </row>
    <row r="46">
      <c r="A46" s="8">
        <f>Option_Bid(symbol)</f>
        <v/>
      </c>
      <c r="B46" s="9" t="inlineStr">
        <is>
          <t>Bid price, what a seller receives</t>
        </is>
      </c>
    </row>
    <row r="47">
      <c r="A47" s="8">
        <f>opt_Delta(spot,price,expiry,"Call",strike)</f>
        <v/>
      </c>
      <c r="B47" s="9" t="inlineStr">
        <is>
          <t>Contract delta</t>
        </is>
      </c>
    </row>
    <row r="48">
      <c r="A48" s="8">
        <f>ImpliedVolatility30d("MSFT")</f>
        <v/>
      </c>
      <c r="B48" s="9" t="inlineStr">
        <is>
          <t>30-day implied volatility</t>
        </is>
      </c>
    </row>
    <row r="50" ht="20" customHeight="1">
      <c r="A50" s="10" t="inlineStr">
        <is>
          <t>Powered by MarketXLS   |   https://marketxls.com   |   Book a demo: https://marketxls.com/book-demo   |   https://optionxls.com</t>
        </is>
      </c>
    </row>
  </sheetData>
  <mergeCells count="29">
    <mergeCell ref="B11:D11"/>
    <mergeCell ref="A8:D8"/>
    <mergeCell ref="B14:D14"/>
    <mergeCell ref="A4:D4"/>
    <mergeCell ref="B17:D17"/>
    <mergeCell ref="A29:D29"/>
    <mergeCell ref="B13:D13"/>
    <mergeCell ref="B44:D44"/>
    <mergeCell ref="A19:D19"/>
    <mergeCell ref="A5:D7"/>
    <mergeCell ref="B38:D38"/>
    <mergeCell ref="B10:D10"/>
    <mergeCell ref="B37:D37"/>
    <mergeCell ref="B40:D40"/>
    <mergeCell ref="B9:D9"/>
    <mergeCell ref="B15:D15"/>
    <mergeCell ref="A36:D36"/>
    <mergeCell ref="A1:D1"/>
    <mergeCell ref="B45:D45"/>
    <mergeCell ref="B47:D47"/>
    <mergeCell ref="B16:D16"/>
    <mergeCell ref="B46:D46"/>
    <mergeCell ref="A50:D50"/>
    <mergeCell ref="A2:D2"/>
    <mergeCell ref="B43:D43"/>
    <mergeCell ref="B12:D12"/>
    <mergeCell ref="B39:D39"/>
    <mergeCell ref="A42:D42"/>
    <mergeCell ref="B48:D48"/>
  </mergeCells>
  <pageMargins left="0.75" right="0.75" top="1" bottom="1" header="0.5" footer="0.5"/>
</worksheet>
</file>

<file path=xl/worksheets/sheet2.xml><?xml version="1.0" encoding="utf-8"?>
<worksheet xmlns="http://schemas.openxmlformats.org/spreadsheetml/2006/main">
  <sheetPr>
    <tabColor rgb="000066CC"/>
    <outlinePr summaryBelow="1" summaryRight="1"/>
    <pageSetUpPr/>
  </sheetPr>
  <dimension ref="A1:F65"/>
  <sheetViews>
    <sheetView workbookViewId="0">
      <pane ySplit="4" topLeftCell="A5" activePane="bottomLeft" state="frozen"/>
      <selection pane="bottomLeft" activeCell="A1" sqref="A1"/>
    </sheetView>
  </sheetViews>
  <sheetFormatPr baseColWidth="8" defaultRowHeight="15"/>
  <cols>
    <col width="30" customWidth="1" min="1" max="1"/>
    <col width="20" customWidth="1" min="2" max="2"/>
    <col width="3" customWidth="1" min="3" max="3"/>
    <col width="30" customWidth="1" min="4" max="4"/>
    <col width="18" customWidth="1" min="5" max="5"/>
    <col width="44" customWidth="1" min="6" max="6"/>
  </cols>
  <sheetData>
    <row r="1" ht="30" customHeight="1">
      <c r="A1" s="1" t="inlineStr">
        <is>
          <t>Main Dashboard   |   MSFT single-leg option calculator</t>
        </is>
      </c>
    </row>
    <row r="2" ht="20" customHeight="1">
      <c r="A2" s="2" t="inlineStr">
        <is>
          <t>Yellow cells are inputs. Every other cell is derived.</t>
        </is>
      </c>
    </row>
    <row r="4" ht="22" customHeight="1">
      <c r="A4" s="3" t="inlineStr">
        <is>
          <t>Position inputs</t>
        </is>
      </c>
      <c r="D4" s="3" t="inlineStr">
        <is>
          <t>Contract Greeks</t>
        </is>
      </c>
    </row>
    <row r="5">
      <c r="A5" s="5" t="inlineStr">
        <is>
          <t>Ticker</t>
        </is>
      </c>
      <c r="B5" s="11" t="inlineStr">
        <is>
          <t>MSFT</t>
        </is>
      </c>
      <c r="C5" s="12" t="n"/>
      <c r="D5" s="5" t="inlineStr">
        <is>
          <t>Delta (per share)</t>
        </is>
      </c>
      <c r="E5" s="13">
        <f>opt_Delta('Main Dashboard'!$B$7,'Main Dashboard'!$B$12,'Main Dashboard'!$B$9,IF('Main Dashboard'!$E$28=1,"Call","Put"),'Main Dashboard'!$B$8)</f>
        <v/>
      </c>
      <c r="F5" s="14" t="inlineStr">
        <is>
          <t>Change in option value for a $1 move in the stock.</t>
        </is>
      </c>
    </row>
    <row r="6">
      <c r="A6" s="5" t="inlineStr">
        <is>
          <t>Position type</t>
        </is>
      </c>
      <c r="B6" s="11" t="inlineStr">
        <is>
          <t>Long Call</t>
        </is>
      </c>
      <c r="C6" s="12" t="n"/>
      <c r="D6" s="5" t="inlineStr">
        <is>
          <t>Gamma</t>
        </is>
      </c>
      <c r="E6" s="13">
        <f>opt_Gamma('Main Dashboard'!$B$7,'Main Dashboard'!$B$12,'Main Dashboard'!$B$9,IF('Main Dashboard'!$E$28=1,"Call","Put"),'Main Dashboard'!$B$8)</f>
        <v/>
      </c>
      <c r="F6" s="14" t="inlineStr">
        <is>
          <t>Change in delta for a $1 move in the stock.</t>
        </is>
      </c>
    </row>
    <row r="7">
      <c r="A7" s="5" t="inlineStr">
        <is>
          <t>Underlying price</t>
        </is>
      </c>
      <c r="B7" s="15">
        <f>QM_Last('Main Dashboard'!$B$5)</f>
        <v/>
      </c>
      <c r="C7" s="12" t="n"/>
      <c r="D7" s="5" t="inlineStr">
        <is>
          <t>Theta (per day)</t>
        </is>
      </c>
      <c r="E7" s="13">
        <f>opt_Theta('Main Dashboard'!$B$7,'Main Dashboard'!$B$12,'Main Dashboard'!$B$9,IF('Main Dashboard'!$E$28=1,"Call","Put"),'Main Dashboard'!$B$8)</f>
        <v/>
      </c>
      <c r="F7" s="14" t="inlineStr">
        <is>
          <t>Value lost to one day of time passing.</t>
        </is>
      </c>
    </row>
    <row r="8">
      <c r="A8" s="5" t="inlineStr">
        <is>
          <t>Strike</t>
        </is>
      </c>
      <c r="B8" s="15" t="n">
        <v>500</v>
      </c>
      <c r="C8" s="12" t="n"/>
      <c r="D8" s="5" t="inlineStr">
        <is>
          <t>Vega (per 1 vol point)</t>
        </is>
      </c>
      <c r="E8" s="13">
        <f>opt_Vega('Main Dashboard'!$B$7,'Main Dashboard'!$B$12,'Main Dashboard'!$B$9,IF('Main Dashboard'!$E$28=1,"Call","Put"),'Main Dashboard'!$B$8)</f>
        <v/>
      </c>
      <c r="F8" s="14" t="inlineStr">
        <is>
          <t>Value change for a one point move in implied volatility.</t>
        </is>
      </c>
    </row>
    <row r="9">
      <c r="A9" s="5" t="inlineStr">
        <is>
          <t>Expiry</t>
        </is>
      </c>
      <c r="B9" s="16" t="n">
        <v>46283</v>
      </c>
      <c r="C9" s="12" t="n"/>
      <c r="D9" s="5" t="inlineStr">
        <is>
          <t>Rho (per 1 rate point)</t>
        </is>
      </c>
      <c r="E9" s="13">
        <f>opt_Rho('Main Dashboard'!$B$7,'Main Dashboard'!$B$12,'Main Dashboard'!$B$9,IF('Main Dashboard'!$E$28=1,"Call","Put"),'Main Dashboard'!$B$8)</f>
        <v/>
      </c>
      <c r="F9" s="14" t="inlineStr">
        <is>
          <t>Value change for a one point move in the risk-free rate.</t>
        </is>
      </c>
    </row>
    <row r="10">
      <c r="A10" s="5" t="inlineStr">
        <is>
          <t>Days to expiry</t>
        </is>
      </c>
      <c r="B10" s="17">
        <f>'Main Dashboard'!$B$9-TODAY()</f>
        <v/>
      </c>
      <c r="C10" s="12" t="n"/>
      <c r="D10" s="5" t="inlineStr">
        <is>
          <t>Position delta (shares)</t>
        </is>
      </c>
      <c r="E10" s="18">
        <f>IF('Main Dashboard'!$E$29=1,(1-'Main Dashboard'!$E$5)*'Main Dashboard'!$B$27,'Main Dashboard'!$E$5*'Main Dashboard'!$B$27*IF('Main Dashboard'!$E$27=1,1,-1))</f>
        <v/>
      </c>
      <c r="F10" s="12" t="inlineStr">
        <is>
          <t>Share-equivalent exposure of the whole position.</t>
        </is>
      </c>
    </row>
    <row r="11">
      <c r="A11" s="5" t="inlineStr">
        <is>
          <t>Contracts</t>
        </is>
      </c>
      <c r="B11" s="19" t="n">
        <v>1</v>
      </c>
      <c r="C11" s="12" t="n"/>
      <c r="D11" s="5" t="inlineStr">
        <is>
          <t>Position theta (per day)</t>
        </is>
      </c>
      <c r="E11" s="20">
        <f>'Main Dashboard'!$E$7*'Main Dashboard'!$B$27*IF('Main Dashboard'!$E$27=1,1,-1)</f>
        <v/>
      </c>
      <c r="F11" s="12" t="inlineStr">
        <is>
          <t>Dollars gained or lost per day from time alone.</t>
        </is>
      </c>
    </row>
    <row r="12">
      <c r="A12" s="5" t="inlineStr">
        <is>
          <t>Premium per share</t>
        </is>
      </c>
      <c r="B12" s="15" t="n">
        <v>13.7</v>
      </c>
      <c r="C12" s="12" t="n"/>
    </row>
    <row r="13" ht="22" customHeight="1">
      <c r="A13" s="5" t="inlineStr">
        <is>
          <t>Implied volatility</t>
        </is>
      </c>
      <c r="B13" s="21">
        <f>ImpliedVolatility30d('Main Dashboard'!$B$5)</f>
        <v/>
      </c>
      <c r="C13" s="12" t="n"/>
      <c r="D13" s="3" t="inlineStr">
        <is>
          <t>Underlying context</t>
        </is>
      </c>
    </row>
    <row r="14">
      <c r="A14" s="5" t="inlineStr">
        <is>
          <t>Risk-free rate</t>
        </is>
      </c>
      <c r="B14" s="22" t="n">
        <v>0.03697</v>
      </c>
      <c r="C14" s="12" t="n"/>
      <c r="D14" s="6" t="inlineStr">
        <is>
          <t>Sector</t>
        </is>
      </c>
      <c r="E14" s="23">
        <f>Sector('Main Dashboard'!$B$5)</f>
        <v/>
      </c>
    </row>
    <row r="15">
      <c r="A15" s="5" t="inlineStr">
        <is>
          <t>Dividend yield</t>
        </is>
      </c>
      <c r="B15" s="21">
        <f>DividendYield('Main Dashboard'!$B$5)</f>
        <v/>
      </c>
      <c r="C15" s="12" t="n"/>
      <c r="D15" s="6" t="inlineStr">
        <is>
          <t>Beta</t>
        </is>
      </c>
      <c r="E15" s="24">
        <f>Beta('Main Dashboard'!$B$5)</f>
        <v/>
      </c>
    </row>
    <row r="16">
      <c r="A16" s="5" t="inlineStr">
        <is>
          <t>Commission per contract</t>
        </is>
      </c>
      <c r="B16" s="15" t="n">
        <v>0.65</v>
      </c>
      <c r="C16" s="12" t="n"/>
      <c r="D16" s="6" t="inlineStr">
        <is>
          <t>Market cap</t>
        </is>
      </c>
      <c r="E16" s="25">
        <f>MarketCapitalization('Main Dashboard'!$B$5)</f>
        <v/>
      </c>
    </row>
    <row r="17">
      <c r="A17" s="5" t="inlineStr">
        <is>
          <t>Option symbol</t>
        </is>
      </c>
      <c r="B17" s="26">
        <f>OptionSymbol('Main Dashboard'!$B$5,'Main Dashboard'!$B$9,IF('Main Dashboard'!$E$28=1,"Call","Put"),'Main Dashboard'!$B$8)</f>
        <v/>
      </c>
      <c r="D17" s="6" t="inlineStr">
        <is>
          <t>Average daily volume</t>
        </is>
      </c>
      <c r="E17" s="27">
        <f>AverageDailyVolume('Main Dashboard'!$B$5)</f>
        <v/>
      </c>
    </row>
    <row r="18">
      <c r="D18" s="6" t="inlineStr">
        <is>
          <t>30-day implied volatility</t>
        </is>
      </c>
      <c r="E18" s="28">
        <f>ImpliedVolatility30d('Main Dashboard'!$B$5)</f>
        <v/>
      </c>
    </row>
    <row r="19">
      <c r="D19" s="6" t="inlineStr">
        <is>
          <t>Implied volatility rank 1y</t>
        </is>
      </c>
      <c r="E19" s="28">
        <f>ImpliedVolatilityRank1y('Main Dashboard'!$B$5)</f>
        <v/>
      </c>
    </row>
    <row r="20">
      <c r="D20" s="6" t="inlineStr">
        <is>
          <t>30-day realized volatility</t>
        </is>
      </c>
      <c r="E20" s="28">
        <f>StockVolatilityThirtyDays('Main Dashboard'!$B$5)</f>
        <v/>
      </c>
    </row>
    <row r="21">
      <c r="D21" s="6" t="inlineStr">
        <is>
          <t>1-year realized volatility</t>
        </is>
      </c>
      <c r="E21" s="28">
        <f>StockVolatilityOneYear('Main Dashboard'!$B$5)</f>
        <v/>
      </c>
    </row>
    <row r="22">
      <c r="D22" s="6" t="inlineStr">
        <is>
          <t>Put/call open interest ratio</t>
        </is>
      </c>
      <c r="E22" s="24">
        <f>opt_PutCallOIRatio('Main Dashboard'!$B$5)</f>
        <v/>
      </c>
    </row>
    <row r="23">
      <c r="D23" s="6" t="inlineStr">
        <is>
          <t>Next earnings date</t>
        </is>
      </c>
      <c r="E23" s="29">
        <f>earnings_date('Main Dashboard'!$B$5)</f>
        <v/>
      </c>
    </row>
    <row r="25" ht="22" customHeight="1">
      <c r="A25" s="3" t="inlineStr">
        <is>
          <t>Position economics</t>
        </is>
      </c>
    </row>
    <row r="26" ht="30" customHeight="1">
      <c r="A26" s="7" t="inlineStr">
        <is>
          <t>Measure</t>
        </is>
      </c>
      <c r="B26" s="7" t="inlineStr">
        <is>
          <t>Value</t>
        </is>
      </c>
      <c r="C26" s="7" t="inlineStr"/>
      <c r="D26" s="7" t="inlineStr">
        <is>
          <t>Sign helpers</t>
        </is>
      </c>
      <c r="E26" s="7" t="inlineStr">
        <is>
          <t>Value</t>
        </is>
      </c>
      <c r="F26" s="7" t="inlineStr">
        <is>
          <t>Meaning</t>
        </is>
      </c>
    </row>
    <row r="27">
      <c r="A27" s="5" t="inlineStr">
        <is>
          <t>Shares controlled</t>
        </is>
      </c>
      <c r="B27" s="17">
        <f>'Main Dashboard'!$B$11*100</f>
        <v/>
      </c>
      <c r="D27" s="6" t="inlineStr">
        <is>
          <t>Is a long position</t>
        </is>
      </c>
      <c r="E27" s="27">
        <f>IF(OR('Main Dashboard'!$B$6="Long Call",'Main Dashboard'!$B$6="Long Put"),1,0)</f>
        <v/>
      </c>
      <c r="F27" s="12" t="inlineStr">
        <is>
          <t>1 = yes, 0 = no. Drives every sign in this workbook.</t>
        </is>
      </c>
    </row>
    <row r="28">
      <c r="A28" s="5" t="inlineStr">
        <is>
          <t>Gross premium</t>
        </is>
      </c>
      <c r="B28" s="20">
        <f>'Main Dashboard'!$B$12*'Main Dashboard'!$B$27</f>
        <v/>
      </c>
      <c r="D28" s="6" t="inlineStr">
        <is>
          <t>Is a call</t>
        </is>
      </c>
      <c r="E28" s="27">
        <f>IF(OR('Main Dashboard'!$B$6="Long Call",'Main Dashboard'!$B$6="Covered Call"),1,0)</f>
        <v/>
      </c>
      <c r="F28" s="12" t="inlineStr">
        <is>
          <t>1 = yes, 0 = no. Drives every sign in this workbook.</t>
        </is>
      </c>
    </row>
    <row r="29">
      <c r="A29" s="5" t="inlineStr">
        <is>
          <t>Commissions</t>
        </is>
      </c>
      <c r="B29" s="20">
        <f>'Main Dashboard'!$B$16*'Main Dashboard'!$B$11</f>
        <v/>
      </c>
      <c r="D29" s="6" t="inlineStr">
        <is>
          <t>Includes 100 shares</t>
        </is>
      </c>
      <c r="E29" s="27">
        <f>IF('Main Dashboard'!$B$6="Covered Call",1,0)</f>
        <v/>
      </c>
      <c r="F29" s="12" t="inlineStr">
        <is>
          <t>1 = yes, 0 = no. Drives every sign in this workbook.</t>
        </is>
      </c>
    </row>
    <row r="30">
      <c r="A30" s="5" t="inlineStr">
        <is>
          <t>Net cash at entry</t>
        </is>
      </c>
      <c r="B30" s="20">
        <f>IF('Main Dashboard'!$E$27=1,-('Main Dashboard'!$B$28+'Main Dashboard'!$B$29),'Main Dashboard'!$B$28-'Main Dashboard'!$B$29)</f>
        <v/>
      </c>
    </row>
    <row r="31">
      <c r="A31" s="5" t="inlineStr">
        <is>
          <t>Capital committed</t>
        </is>
      </c>
      <c r="B31" s="20">
        <f>IF('Main Dashboard'!$E$27=1,'Main Dashboard'!$B$28+'Main Dashboard'!$B$29,IF('Main Dashboard'!$B$6="Cash-Secured Put",'Main Dashboard'!$B$8*'Main Dashboard'!$B$27-('Main Dashboard'!$B$28-'Main Dashboard'!$B$29),'Main Dashboard'!$B$7*'Main Dashboard'!$B$27-('Main Dashboard'!$B$28-'Main Dashboard'!$B$29)))</f>
        <v/>
      </c>
    </row>
    <row r="32">
      <c r="A32" s="5" t="inlineStr">
        <is>
          <t>Breakeven at expiry</t>
        </is>
      </c>
      <c r="B32" s="20">
        <f>IF('Main Dashboard'!$B$6="Long Call",'Main Dashboard'!$B$8+'Main Dashboard'!$B$12+('Main Dashboard'!$B$29/'Main Dashboard'!$B$27),IF('Main Dashboard'!$B$6="Long Put",'Main Dashboard'!$B$8-'Main Dashboard'!$B$12-('Main Dashboard'!$B$29/'Main Dashboard'!$B$27),IF('Main Dashboard'!$B$6="Cash-Secured Put",'Main Dashboard'!$B$8-'Main Dashboard'!$B$12+('Main Dashboard'!$B$29/'Main Dashboard'!$B$27),'Main Dashboard'!$B$7-'Main Dashboard'!$B$12+('Main Dashboard'!$B$29/'Main Dashboard'!$B$27))))</f>
        <v/>
      </c>
    </row>
    <row r="33">
      <c r="A33" s="5" t="inlineStr">
        <is>
          <t>Move to breakeven</t>
        </is>
      </c>
      <c r="B33" s="21">
        <f>('Main Dashboard'!$B$32-'Main Dashboard'!$B$7)/'Main Dashboard'!$B$7</f>
        <v/>
      </c>
    </row>
    <row r="34">
      <c r="A34" s="5" t="inlineStr">
        <is>
          <t>Maximum loss</t>
        </is>
      </c>
      <c r="B34" s="30">
        <f>IF('Main Dashboard'!$E$27=1,'Main Dashboard'!$B$28+'Main Dashboard'!$B$29,'Main Dashboard'!$B$32*'Main Dashboard'!$B$27)</f>
        <v/>
      </c>
    </row>
    <row r="35">
      <c r="A35" s="5" t="inlineStr">
        <is>
          <t>Maximum profit</t>
        </is>
      </c>
      <c r="B35" s="31">
        <f>IF('Main Dashboard'!$B$6="Long Call","No defined ceiling",IF('Main Dashboard'!$B$6="Long Put",'Main Dashboard'!$B$32*'Main Dashboard'!$B$27,IF('Main Dashboard'!$B$6="Cash-Secured Put",'Main Dashboard'!$B$28-'Main Dashboard'!$B$29,('Main Dashboard'!$B$8-'Main Dashboard'!$B$7+'Main Dashboard'!$B$12)*'Main Dashboard'!$B$27-'Main Dashboard'!$B$29)))</f>
        <v/>
      </c>
    </row>
    <row r="36">
      <c r="A36" s="5" t="inlineStr">
        <is>
          <t>Probability of profit</t>
        </is>
      </c>
      <c r="B36" s="32">
        <f>IF('Main Dashboard'!$B$6="Long Put",1-NORMSDIST(((LN('Main Dashboard'!$B$7/'Main Dashboard'!$B$32)+('Main Dashboard'!$B$14-'Main Dashboard'!$B$15-'Main Dashboard'!$B$13^2/2)*('Main Dashboard'!$B$10/365))/('Main Dashboard'!$B$13*SQRT(('Main Dashboard'!$B$10/365))))),NORMSDIST(((LN('Main Dashboard'!$B$7/'Main Dashboard'!$B$32)+('Main Dashboard'!$B$14-'Main Dashboard'!$B$15-'Main Dashboard'!$B$13^2/2)*('Main Dashboard'!$B$10/365))/('Main Dashboard'!$B$13*SQRT(('Main Dashboard'!$B$10/365))))))</f>
        <v/>
      </c>
    </row>
    <row r="37">
      <c r="A37" s="5" t="inlineStr">
        <is>
          <t>Notional controlled</t>
        </is>
      </c>
      <c r="B37" s="33">
        <f>'Main Dashboard'!$B$7*'Main Dashboard'!$B$27</f>
        <v/>
      </c>
    </row>
    <row r="38">
      <c r="A38" s="5" t="inlineStr">
        <is>
          <t>Leverage (notional / capital)</t>
        </is>
      </c>
      <c r="B38" s="18">
        <f>'Main Dashboard'!$B$37/'Main Dashboard'!$B$31</f>
        <v/>
      </c>
    </row>
    <row r="40" ht="22" customHeight="1">
      <c r="A40" s="3" t="inlineStr">
        <is>
          <t>Notes</t>
        </is>
      </c>
    </row>
    <row r="41">
      <c r="A41" s="34" t="inlineStr">
        <is>
          <t>Educational model only. No cell in this workbook is a recommendation to buy or sell any security. Maximum loss on a cash-secured put and on a covered call assumes the share price goes to zero, which is the honest arithmetic floor rather than a forecast.</t>
        </is>
      </c>
    </row>
    <row r="42"/>
    <row r="44" ht="22" customHeight="1">
      <c r="A44" s="3" t="inlineStr">
        <is>
          <t>MarketXLS Functions Used in This Sheet</t>
        </is>
      </c>
    </row>
    <row r="45">
      <c r="A45" s="8">
        <f>QM_Last("MSFT")</f>
        <v/>
      </c>
      <c r="B45" s="9" t="inlineStr">
        <is>
          <t>Underlying last price</t>
        </is>
      </c>
    </row>
    <row r="46">
      <c r="A46" s="8">
        <f>OptionSymbol("MSFT",DATE(2026,9,18),"Call",500)</f>
        <v/>
      </c>
      <c r="B46" s="9" t="inlineStr">
        <is>
          <t>Contract symbol</t>
        </is>
      </c>
    </row>
    <row r="47">
      <c r="A47" s="8">
        <f>Option_Ask(symbol)</f>
        <v/>
      </c>
      <c r="B47" s="9" t="inlineStr">
        <is>
          <t>Ask price, what a buyer pays</t>
        </is>
      </c>
    </row>
    <row r="48">
      <c r="A48" s="8">
        <f>Option_Bid(symbol)</f>
        <v/>
      </c>
      <c r="B48" s="9" t="inlineStr">
        <is>
          <t>Bid price, what a seller receives</t>
        </is>
      </c>
    </row>
    <row r="49">
      <c r="A49" s="8">
        <f>opt_Delta(spot,price,expiry,"Call",strike)</f>
        <v/>
      </c>
      <c r="B49" s="9" t="inlineStr">
        <is>
          <t>Contract delta</t>
        </is>
      </c>
    </row>
    <row r="50">
      <c r="A50" s="8">
        <f>opt_Gamma(spot,price,expiry,"Call",strike)</f>
        <v/>
      </c>
      <c r="B50" s="9" t="inlineStr">
        <is>
          <t>Contract gamma</t>
        </is>
      </c>
    </row>
    <row r="51">
      <c r="A51" s="8">
        <f>opt_Theta(spot,price,expiry,"Call",strike)</f>
        <v/>
      </c>
      <c r="B51" s="9" t="inlineStr">
        <is>
          <t>Daily time decay</t>
        </is>
      </c>
    </row>
    <row r="52">
      <c r="A52" s="8">
        <f>opt_Vega(spot,price,expiry,"Call",strike)</f>
        <v/>
      </c>
      <c r="B52" s="9" t="inlineStr">
        <is>
          <t>Volatility sensitivity</t>
        </is>
      </c>
    </row>
    <row r="53">
      <c r="A53" s="8">
        <f>opt_Rho(spot,price,expiry,"Call",strike)</f>
        <v/>
      </c>
      <c r="B53" s="9" t="inlineStr">
        <is>
          <t>Rate sensitivity</t>
        </is>
      </c>
    </row>
    <row r="54">
      <c r="A54" s="8">
        <f>ImpliedVolatility30d("MSFT")</f>
        <v/>
      </c>
      <c r="B54" s="9" t="inlineStr">
        <is>
          <t>30-day implied volatility</t>
        </is>
      </c>
    </row>
    <row r="55">
      <c r="A55" s="8">
        <f>ImpliedVolatilityRank1y("MSFT")</f>
        <v/>
      </c>
      <c r="B55" s="9" t="inlineStr">
        <is>
          <t>Where implied volatility sits in its year</t>
        </is>
      </c>
    </row>
    <row r="56">
      <c r="A56" s="8">
        <f>StockVolatilityThirtyDays("MSFT")</f>
        <v/>
      </c>
      <c r="B56" s="9" t="inlineStr">
        <is>
          <t>30-day realized volatility</t>
        </is>
      </c>
    </row>
    <row r="57">
      <c r="A57" s="8">
        <f>StockVolatilityOneYear("MSFT")</f>
        <v/>
      </c>
      <c r="B57" s="9" t="inlineStr">
        <is>
          <t>1-year realized volatility</t>
        </is>
      </c>
    </row>
    <row r="58">
      <c r="A58" s="8">
        <f>opt_PutCallOIRatio("MSFT")</f>
        <v/>
      </c>
      <c r="B58" s="9" t="inlineStr">
        <is>
          <t>Put/call open interest ratio</t>
        </is>
      </c>
    </row>
    <row r="59">
      <c r="A59" s="8">
        <f>earnings_date("MSFT")</f>
        <v/>
      </c>
      <c r="B59" s="9" t="inlineStr">
        <is>
          <t>Next earnings date</t>
        </is>
      </c>
    </row>
    <row r="60">
      <c r="A60" s="8">
        <f>Beta("MSFT")</f>
        <v/>
      </c>
      <c r="B60" s="9" t="inlineStr">
        <is>
          <t>Beta against the market</t>
        </is>
      </c>
    </row>
    <row r="61">
      <c r="A61" s="8">
        <f>Sector("MSFT")</f>
        <v/>
      </c>
      <c r="B61" s="9" t="inlineStr">
        <is>
          <t>Sector name</t>
        </is>
      </c>
    </row>
    <row r="62">
      <c r="A62" s="8">
        <f>MarketCapitalization("MSFT")</f>
        <v/>
      </c>
      <c r="B62" s="9" t="inlineStr">
        <is>
          <t>Market capitalization</t>
        </is>
      </c>
    </row>
    <row r="63">
      <c r="A63" s="8">
        <f>AverageDailyVolume("MSFT")</f>
        <v/>
      </c>
      <c r="B63" s="9" t="inlineStr">
        <is>
          <t>365-day average share volume</t>
        </is>
      </c>
    </row>
    <row r="65" ht="20" customHeight="1">
      <c r="A65" s="10" t="inlineStr">
        <is>
          <t>Powered by MarketXLS   |   https://marketxls.com   |   Book a demo: https://marketxls.com/book-demo   |   https://optionxls.com</t>
        </is>
      </c>
    </row>
  </sheetData>
  <mergeCells count="29">
    <mergeCell ref="D13:F13"/>
    <mergeCell ref="B47:F47"/>
    <mergeCell ref="B54:F54"/>
    <mergeCell ref="B62:F62"/>
    <mergeCell ref="B59:F59"/>
    <mergeCell ref="B46:F46"/>
    <mergeCell ref="B56:F56"/>
    <mergeCell ref="B58:F58"/>
    <mergeCell ref="B52:F52"/>
    <mergeCell ref="A2:F2"/>
    <mergeCell ref="B48:F48"/>
    <mergeCell ref="D4:F4"/>
    <mergeCell ref="B60:F60"/>
    <mergeCell ref="B61:F61"/>
    <mergeCell ref="A4:C4"/>
    <mergeCell ref="B57:F57"/>
    <mergeCell ref="B53:F53"/>
    <mergeCell ref="A41:F42"/>
    <mergeCell ref="A65:F65"/>
    <mergeCell ref="A44:F44"/>
    <mergeCell ref="A40:F40"/>
    <mergeCell ref="B49:F49"/>
    <mergeCell ref="B55:F55"/>
    <mergeCell ref="A1:F1"/>
    <mergeCell ref="B51:F51"/>
    <mergeCell ref="B45:F45"/>
    <mergeCell ref="B63:F63"/>
    <mergeCell ref="B50:F50"/>
    <mergeCell ref="A25:F25"/>
  </mergeCells>
  <dataValidations count="1">
    <dataValidation sqref="B6" showDropDown="0" showInputMessage="0" showErrorMessage="0" allowBlank="0" type="list">
      <formula1>"Long Call,Long Put,Cash-Secured Put,Covered Call"</formula1>
    </dataValidation>
  </dataValidations>
  <pageMargins left="0.75" right="0.75" top="1" bottom="1" header="0.5" footer="0.5"/>
  <legacyDrawing xmlns:r="http://schemas.openxmlformats.org/officeDocument/2006/relationships" r:id="anysvml"/>
</worksheet>
</file>

<file path=xl/worksheets/sheet3.xml><?xml version="1.0" encoding="utf-8"?>
<worksheet xmlns="http://schemas.openxmlformats.org/spreadsheetml/2006/main">
  <sheetPr>
    <tabColor rgb="000066CC"/>
    <outlinePr summaryBelow="1" summaryRight="1"/>
    <pageSetUpPr/>
  </sheetPr>
  <dimension ref="A1:F37"/>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9" customWidth="1" min="2" max="2"/>
    <col width="19" customWidth="1" min="3" max="3"/>
    <col width="19" customWidth="1" min="4" max="4"/>
    <col width="19" customWidth="1" min="5" max="5"/>
    <col width="40" customWidth="1" min="6" max="6"/>
  </cols>
  <sheetData>
    <row r="1" ht="30" customHeight="1">
      <c r="A1" s="1" t="inlineStr">
        <is>
          <t>Four Positions   |   one stock, one expiry, four structures</t>
        </is>
      </c>
    </row>
    <row r="2" ht="20" customHeight="1">
      <c r="A2" s="2" t="inlineStr">
        <is>
          <t>MSFT at $495.40, expiry 2026-09-18, 34 days, 1 contract each</t>
        </is>
      </c>
    </row>
    <row r="4" ht="22" customHeight="1">
      <c r="A4" s="3" t="inlineStr">
        <is>
          <t>Side by side</t>
        </is>
      </c>
    </row>
    <row r="5" ht="30" customHeight="1">
      <c r="A5" s="7" t="inlineStr">
        <is>
          <t>Measure</t>
        </is>
      </c>
      <c r="B5" s="7" t="inlineStr">
        <is>
          <t>Long Call</t>
        </is>
      </c>
      <c r="C5" s="7" t="inlineStr">
        <is>
          <t>Long Put</t>
        </is>
      </c>
      <c r="D5" s="7" t="inlineStr">
        <is>
          <t>Cash-Secured Put</t>
        </is>
      </c>
      <c r="E5" s="7" t="inlineStr">
        <is>
          <t>Covered Call</t>
        </is>
      </c>
      <c r="F5" s="7" t="inlineStr">
        <is>
          <t>Note</t>
        </is>
      </c>
    </row>
    <row r="6">
      <c r="A6" s="5" t="inlineStr">
        <is>
          <t>Strike</t>
        </is>
      </c>
      <c r="B6" s="35" t="n">
        <v>500</v>
      </c>
      <c r="C6" s="35" t="n">
        <v>490</v>
      </c>
      <c r="D6" s="35" t="n">
        <v>480</v>
      </c>
      <c r="E6" s="35" t="n">
        <v>520</v>
      </c>
      <c r="F6" s="14" t="inlineStr">
        <is>
          <t>Chosen around the money.</t>
        </is>
      </c>
    </row>
    <row r="7">
      <c r="A7" s="5" t="inlineStr">
        <is>
          <t>Premium per share</t>
        </is>
      </c>
      <c r="B7" s="35" t="n">
        <v>13.7</v>
      </c>
      <c r="C7" s="35" t="n">
        <v>12.55</v>
      </c>
      <c r="D7" s="35" t="n">
        <v>8.1</v>
      </c>
      <c r="E7" s="35" t="n">
        <v>6.1</v>
      </c>
      <c r="F7" s="14" t="inlineStr">
        <is>
          <t>Ask when buying, bid when selling.</t>
        </is>
      </c>
    </row>
    <row r="8">
      <c r="A8" s="5" t="inlineStr">
        <is>
          <t>Solved implied volatility</t>
        </is>
      </c>
      <c r="B8" s="28" t="n">
        <v>0.2523168170326746</v>
      </c>
      <c r="C8" s="28" t="n">
        <v>0.2622109228484756</v>
      </c>
      <c r="D8" s="28" t="n">
        <v>0.2531804369813703</v>
      </c>
      <c r="E8" s="28" t="n">
        <v>0.2416495451141876</v>
      </c>
      <c r="F8" s="14" t="inlineStr">
        <is>
          <t>Backed out of the traded premium.</t>
        </is>
      </c>
    </row>
    <row r="9">
      <c r="A9" s="5" t="inlineStr">
        <is>
          <t>Net cash at entry</t>
        </is>
      </c>
      <c r="B9" s="35" t="n">
        <v>-1370.65</v>
      </c>
      <c r="C9" s="35" t="n">
        <v>-1255.65</v>
      </c>
      <c r="D9" s="35" t="n">
        <v>809.35</v>
      </c>
      <c r="E9" s="35" t="n">
        <v>-48930.65</v>
      </c>
      <c r="F9" s="14" t="inlineStr">
        <is>
          <t>Negative is a debit, positive is a credit.</t>
        </is>
      </c>
    </row>
    <row r="10">
      <c r="A10" s="5" t="inlineStr">
        <is>
          <t>Capital committed</t>
        </is>
      </c>
      <c r="B10" s="20" t="n">
        <v>1370.65</v>
      </c>
      <c r="C10" s="20" t="n">
        <v>1255.65</v>
      </c>
      <c r="D10" s="20" t="n">
        <v>47190.65</v>
      </c>
      <c r="E10" s="20" t="n">
        <v>48930.65</v>
      </c>
      <c r="F10" s="14" t="inlineStr">
        <is>
          <t>The cash the position actually ties up.</t>
        </is>
      </c>
    </row>
    <row r="11">
      <c r="A11" s="5" t="inlineStr">
        <is>
          <t>Breakeven at expiry</t>
        </is>
      </c>
      <c r="B11" s="20" t="n">
        <v>513.7065</v>
      </c>
      <c r="C11" s="20" t="n">
        <v>477.4435</v>
      </c>
      <c r="D11" s="20" t="n">
        <v>471.9065</v>
      </c>
      <c r="E11" s="20" t="n">
        <v>489.3065</v>
      </c>
      <c r="F11" s="14" t="inlineStr">
        <is>
          <t>Where the position stops losing money.</t>
        </is>
      </c>
    </row>
    <row r="12">
      <c r="A12" s="5" t="inlineStr">
        <is>
          <t>Move to breakeven</t>
        </is>
      </c>
      <c r="B12" s="28" t="n">
        <v>0.03695296729915226</v>
      </c>
      <c r="C12" s="28" t="n">
        <v>-0.0362464675010093</v>
      </c>
      <c r="D12" s="28" t="n">
        <v>-0.04742329430763017</v>
      </c>
      <c r="E12" s="28" t="n">
        <v>-0.01230016148566816</v>
      </c>
      <c r="F12" s="14" t="inlineStr">
        <is>
          <t>Percent the stock must travel from here.</t>
        </is>
      </c>
    </row>
    <row r="13">
      <c r="A13" s="5" t="inlineStr">
        <is>
          <t>Maximum profit</t>
        </is>
      </c>
      <c r="B13" s="36" t="inlineStr">
        <is>
          <t>No ceiling</t>
        </is>
      </c>
      <c r="C13" s="37" t="n">
        <v>47744.35</v>
      </c>
      <c r="D13" s="37" t="n">
        <v>809.35</v>
      </c>
      <c r="E13" s="37" t="n">
        <v>3069.350000000002</v>
      </c>
      <c r="F13" s="14" t="inlineStr">
        <is>
          <t>Long call profit has no defined ceiling.</t>
        </is>
      </c>
    </row>
    <row r="14">
      <c r="A14" s="5" t="inlineStr">
        <is>
          <t>Maximum loss</t>
        </is>
      </c>
      <c r="B14" s="38" t="n">
        <v>1370.65</v>
      </c>
      <c r="C14" s="38" t="n">
        <v>1255.65</v>
      </c>
      <c r="D14" s="38" t="n">
        <v>47190.65</v>
      </c>
      <c r="E14" s="38" t="n">
        <v>48930.64999999999</v>
      </c>
      <c r="F14" s="14" t="inlineStr">
        <is>
          <t>Sellers assume a zero share price.</t>
        </is>
      </c>
    </row>
    <row r="15">
      <c r="A15" s="5" t="inlineStr">
        <is>
          <t>Probability of profit</t>
        </is>
      </c>
      <c r="B15" s="39" t="n">
        <v>0.317815337178163</v>
      </c>
      <c r="C15" s="39" t="n">
        <v>0.3242476494435751</v>
      </c>
      <c r="D15" s="39" t="n">
        <v>0.7343023980363007</v>
      </c>
      <c r="E15" s="39" t="n">
        <v>0.5668682864007182</v>
      </c>
      <c r="F15" s="14" t="inlineStr">
        <is>
          <t>Risk-neutral, from the pricing model.</t>
        </is>
      </c>
    </row>
    <row r="16">
      <c r="A16" s="5" t="inlineStr">
        <is>
          <t>Return on capital if max profit</t>
        </is>
      </c>
      <c r="B16" s="23" t="inlineStr">
        <is>
          <t>n/a</t>
        </is>
      </c>
      <c r="C16" s="28" t="n">
        <v>38.02361326802851</v>
      </c>
      <c r="D16" s="28" t="n">
        <v>0.01715064318885203</v>
      </c>
      <c r="E16" s="28" t="n">
        <v>0.06272857605611211</v>
      </c>
      <c r="F16" s="14" t="inlineStr">
        <is>
          <t>The number that makes credit trades look attractive.</t>
        </is>
      </c>
    </row>
    <row r="17">
      <c r="A17" s="5" t="inlineStr">
        <is>
          <t>Position delta (shares)</t>
        </is>
      </c>
      <c r="B17" s="24" t="n">
        <v>48.14764297513548</v>
      </c>
      <c r="C17" s="24" t="n">
        <v>-41.59647337910609</v>
      </c>
      <c r="D17" s="24" t="n">
        <v>31.43054660395305</v>
      </c>
      <c r="E17" s="24" t="n">
        <v>72.0160813163299</v>
      </c>
      <c r="F17" s="14" t="inlineStr">
        <is>
          <t>Share-equivalent exposure.</t>
        </is>
      </c>
    </row>
    <row r="18">
      <c r="A18" s="5" t="inlineStr">
        <is>
          <t>Daily theta</t>
        </is>
      </c>
      <c r="B18" s="35" t="n">
        <v>-24.14352411558767</v>
      </c>
      <c r="C18" s="35" t="n">
        <v>-20.92740577715485</v>
      </c>
      <c r="D18" s="35" t="n">
        <v>18.62372210888426</v>
      </c>
      <c r="E18" s="35" t="n">
        <v>19.14091170959405</v>
      </c>
      <c r="F18" s="14" t="inlineStr">
        <is>
          <t>Buyers pay it, sellers collect it.</t>
        </is>
      </c>
    </row>
    <row r="19">
      <c r="A19" s="5" t="inlineStr">
        <is>
          <t>Vega per vol point</t>
        </is>
      </c>
      <c r="B19" s="35" t="n">
        <v>60.21597468618074</v>
      </c>
      <c r="C19" s="35" t="n">
        <v>58.94542213490323</v>
      </c>
      <c r="D19" s="35" t="n">
        <v>-53.64000507891702</v>
      </c>
      <c r="E19" s="35" t="n">
        <v>-50.86512914964767</v>
      </c>
      <c r="F19" s="14" t="inlineStr">
        <is>
          <t>Buyers want volatility up, sellers want it down.</t>
        </is>
      </c>
    </row>
    <row r="21" ht="22" customHeight="1">
      <c r="A21" s="3" t="inlineStr">
        <is>
          <t>How to read this table</t>
        </is>
      </c>
    </row>
    <row r="22" ht="34" customHeight="1">
      <c r="A22" s="5" t="inlineStr">
        <is>
          <t>Capital is not comparable at face value</t>
        </is>
      </c>
      <c r="B22" s="6" t="inlineStr">
        <is>
          <t>The long call ties up a small sum and can lose all of it. The covered call ties up the price of 100 shares. A percentage return on those two capital bases is not the same kind of number.</t>
        </is>
      </c>
    </row>
    <row r="23" ht="34" customHeight="1">
      <c r="A23" s="5" t="inlineStr">
        <is>
          <t>A high probability of profit is not an edge</t>
        </is>
      </c>
      <c r="B23" s="6" t="inlineStr">
        <is>
          <t>Selling a put far below the market wins most of the time and loses a lot when it loses. Multiply the probability by the payoff before you compare structures.</t>
        </is>
      </c>
    </row>
    <row r="24" ht="34" customHeight="1">
      <c r="A24" s="5" t="inlineStr">
        <is>
          <t>Time decay has a direction</t>
        </is>
      </c>
      <c r="B24" s="6" t="inlineStr">
        <is>
          <t>The two long positions pay theta every day. The two short positions collect it. That single sign flip is most of the difference between them.</t>
        </is>
      </c>
    </row>
    <row r="25" ht="34" customHeight="1">
      <c r="A25" s="5" t="inlineStr">
        <is>
          <t>The stock does not have to move for a seller to win</t>
        </is>
      </c>
      <c r="B25" s="6" t="inlineStr">
        <is>
          <t>Both short positions break even below the current price. Both long positions need a move to clear their premium.</t>
        </is>
      </c>
    </row>
    <row r="27" ht="22" customHeight="1">
      <c r="A27" s="3" t="inlineStr">
        <is>
          <t>MarketXLS Functions Used in This Sheet</t>
        </is>
      </c>
    </row>
    <row r="28">
      <c r="A28" s="8">
        <f>OptionSymbol("MSFT",DATE(2026,9,18),"Put",480)</f>
        <v/>
      </c>
      <c r="B28" s="9" t="inlineStr">
        <is>
          <t>Put contract symbol</t>
        </is>
      </c>
    </row>
    <row r="29">
      <c r="A29" s="8">
        <f>Option_Bid(symbol)</f>
        <v/>
      </c>
      <c r="B29" s="9" t="inlineStr">
        <is>
          <t>Credit a seller receives</t>
        </is>
      </c>
    </row>
    <row r="30">
      <c r="A30" s="8">
        <f>Option_Ask(symbol)</f>
        <v/>
      </c>
      <c r="B30" s="9" t="inlineStr">
        <is>
          <t>Debit a buyer pays</t>
        </is>
      </c>
    </row>
    <row r="31">
      <c r="A31" s="8">
        <f>Option_OpenInterest(symbol)</f>
        <v/>
      </c>
      <c r="B31" s="9" t="inlineStr">
        <is>
          <t>Open interest on the contract</t>
        </is>
      </c>
    </row>
    <row r="32">
      <c r="A32" s="8">
        <f>Option_Volume(symbol)</f>
        <v/>
      </c>
      <c r="B32" s="9" t="inlineStr">
        <is>
          <t>Contracts traded today</t>
        </is>
      </c>
    </row>
    <row r="33">
      <c r="A33" s="8">
        <f>opt_ImpliedVolatility(spot,price,expiry,"Put",strike)</f>
        <v/>
      </c>
      <c r="B33" s="9" t="inlineStr">
        <is>
          <t>Implied volatility from the traded price</t>
        </is>
      </c>
    </row>
    <row r="34">
      <c r="A34" s="8">
        <f>opt_Delta(spot,price,expiry,"Put",strike)</f>
        <v/>
      </c>
      <c r="B34" s="9" t="inlineStr">
        <is>
          <t>Contract delta</t>
        </is>
      </c>
    </row>
    <row r="35">
      <c r="A35" s="8">
        <f>opt_Vega(spot,price,expiry,"Put",strike)</f>
        <v/>
      </c>
      <c r="B35" s="9" t="inlineStr">
        <is>
          <t>Volatility sensitivity</t>
        </is>
      </c>
    </row>
    <row r="37" ht="20" customHeight="1">
      <c r="A37" s="10" t="inlineStr">
        <is>
          <t>Powered by MarketXLS   |   https://marketxls.com   |   Book a demo: https://marketxls.com/book-demo   |   https://optionxls.com</t>
        </is>
      </c>
    </row>
  </sheetData>
  <mergeCells count="18">
    <mergeCell ref="B30:F30"/>
    <mergeCell ref="A2:F2"/>
    <mergeCell ref="B29:F29"/>
    <mergeCell ref="B24:F24"/>
    <mergeCell ref="B34:F34"/>
    <mergeCell ref="B33:F33"/>
    <mergeCell ref="A1:F1"/>
    <mergeCell ref="B25:F25"/>
    <mergeCell ref="B28:F28"/>
    <mergeCell ref="A27:F27"/>
    <mergeCell ref="A37:F37"/>
    <mergeCell ref="B31:F31"/>
    <mergeCell ref="B23:F23"/>
    <mergeCell ref="B22:F22"/>
    <mergeCell ref="A4:F4"/>
    <mergeCell ref="B32:F32"/>
    <mergeCell ref="A21:F21"/>
    <mergeCell ref="B35:F35"/>
  </mergeCells>
  <pageMargins left="0.75" right="0.75" top="1" bottom="1" header="0.5" footer="0.5"/>
</worksheet>
</file>

<file path=xl/worksheets/sheet4.xml><?xml version="1.0" encoding="utf-8"?>
<worksheet xmlns="http://schemas.openxmlformats.org/spreadsheetml/2006/main">
  <sheetPr>
    <tabColor rgb="000066CC"/>
    <outlinePr summaryBelow="1" summaryRight="1"/>
    <pageSetUpPr/>
  </sheetPr>
  <dimension ref="A1:G34"/>
  <sheetViews>
    <sheetView workbookViewId="0">
      <pane ySplit="5" topLeftCell="A6" activePane="bottomLeft" state="frozen"/>
      <selection pane="bottomLeft" activeCell="A1" sqref="A1"/>
    </sheetView>
  </sheetViews>
  <sheetFormatPr baseColWidth="8" defaultRowHeight="15"/>
  <cols>
    <col width="16" customWidth="1" min="1" max="1"/>
    <col width="13" customWidth="1" min="2" max="2"/>
    <col width="17" customWidth="1" min="3" max="3"/>
    <col width="17" customWidth="1" min="4" max="4"/>
    <col width="19" customWidth="1" min="5" max="5"/>
    <col width="17" customWidth="1" min="6" max="6"/>
    <col width="34" customWidth="1" min="7" max="7"/>
  </cols>
  <sheetData>
    <row r="1" ht="30" customHeight="1">
      <c r="A1" s="1" t="inlineStr">
        <is>
          <t>Payoff Ladder   |   profit and loss at expiry</t>
        </is>
      </c>
    </row>
    <row r="2" ht="20" customHeight="1">
      <c r="A2" s="2" t="inlineStr">
        <is>
          <t>All four positions, 1 contract each, 2026-09-18</t>
        </is>
      </c>
    </row>
    <row r="4" ht="22" customHeight="1">
      <c r="A4" s="3" t="inlineStr">
        <is>
          <t>Profit and loss at expiry across the price ladder</t>
        </is>
      </c>
    </row>
    <row r="5" ht="30" customHeight="1">
      <c r="A5" s="7" t="inlineStr">
        <is>
          <t>Stock at expiry</t>
        </is>
      </c>
      <c r="B5" s="7" t="inlineStr">
        <is>
          <t>Move</t>
        </is>
      </c>
      <c r="C5" s="7" t="inlineStr">
        <is>
          <t>Long Call</t>
        </is>
      </c>
      <c r="D5" s="7" t="inlineStr">
        <is>
          <t>Long Put</t>
        </is>
      </c>
      <c r="E5" s="7" t="inlineStr">
        <is>
          <t>Cash-Secured Put</t>
        </is>
      </c>
      <c r="F5" s="7" t="inlineStr">
        <is>
          <t>Covered Call</t>
        </is>
      </c>
      <c r="G5" s="7" t="inlineStr">
        <is>
          <t>What the row says</t>
        </is>
      </c>
    </row>
    <row r="6">
      <c r="A6" s="40" t="n">
        <v>435.95</v>
      </c>
      <c r="B6" s="41" t="n">
        <v>-0.12</v>
      </c>
      <c r="C6" s="42" t="n">
        <v>-1370.65</v>
      </c>
      <c r="D6" s="43" t="n">
        <v>4149.350000000001</v>
      </c>
      <c r="E6" s="42" t="n">
        <v>-3595.650000000001</v>
      </c>
      <c r="F6" s="42" t="n">
        <v>-5335.649999999999</v>
      </c>
      <c r="G6" s="44" t="inlineStr">
        <is>
          <t>A deep drop. Only the put buyer is paid here.</t>
        </is>
      </c>
    </row>
    <row r="7">
      <c r="A7" s="20" t="n">
        <v>455.77</v>
      </c>
      <c r="B7" s="28" t="n">
        <v>-0.07999999999999996</v>
      </c>
      <c r="C7" s="38" t="n">
        <v>-1370.65</v>
      </c>
      <c r="D7" s="37" t="n">
        <v>2167.350000000002</v>
      </c>
      <c r="E7" s="38" t="n">
        <v>-1613.650000000002</v>
      </c>
      <c r="F7" s="38" t="n">
        <v>-3353.65</v>
      </c>
      <c r="G7" s="14" t="inlineStr">
        <is>
          <t>The long put clears its premium, both sellers are underwater.</t>
        </is>
      </c>
    </row>
    <row r="8">
      <c r="A8" s="40" t="n">
        <v>475.58</v>
      </c>
      <c r="B8" s="41" t="n">
        <v>-0.04000000000000004</v>
      </c>
      <c r="C8" s="42" t="n">
        <v>-1370.65</v>
      </c>
      <c r="D8" s="43" t="n">
        <v>186.3500000000016</v>
      </c>
      <c r="E8" s="43" t="n">
        <v>367.3499999999984</v>
      </c>
      <c r="F8" s="42" t="n">
        <v>-1372.649999999999</v>
      </c>
      <c r="G8" s="44" t="inlineStr">
        <is>
          <t>The long put has given back most of its gain, the short put sits just above breakeven.</t>
        </is>
      </c>
    </row>
    <row r="9">
      <c r="A9" s="20" t="n">
        <v>485.49</v>
      </c>
      <c r="B9" s="28" t="n">
        <v>-0.02000000000000002</v>
      </c>
      <c r="C9" s="38" t="n">
        <v>-1370.65</v>
      </c>
      <c r="D9" s="38" t="n">
        <v>-804.6500000000009</v>
      </c>
      <c r="E9" s="37" t="n">
        <v>809.35</v>
      </c>
      <c r="F9" s="38" t="n">
        <v>-381.6499999999968</v>
      </c>
      <c r="G9" s="14" t="inlineStr">
        <is>
          <t>The short put is already at its maximum profit.</t>
        </is>
      </c>
    </row>
    <row r="10">
      <c r="A10" s="40" t="n">
        <v>495.4</v>
      </c>
      <c r="B10" s="41" t="n">
        <v>0</v>
      </c>
      <c r="C10" s="42" t="n">
        <v>-1370.65</v>
      </c>
      <c r="D10" s="42" t="n">
        <v>-1255.65</v>
      </c>
      <c r="E10" s="43" t="n">
        <v>809.35</v>
      </c>
      <c r="F10" s="43" t="n">
        <v>609.35</v>
      </c>
      <c r="G10" s="44" t="inlineStr">
        <is>
          <t>Unchanged. Both long positions lose their full premium.</t>
        </is>
      </c>
    </row>
    <row r="11">
      <c r="A11" s="20" t="n">
        <v>505.31</v>
      </c>
      <c r="B11" s="28" t="n">
        <v>0.02000000000000002</v>
      </c>
      <c r="C11" s="38" t="n">
        <v>-839.6499999999997</v>
      </c>
      <c r="D11" s="38" t="n">
        <v>-1255.65</v>
      </c>
      <c r="E11" s="37" t="n">
        <v>809.35</v>
      </c>
      <c r="F11" s="37" t="n">
        <v>1600.350000000002</v>
      </c>
      <c r="G11" s="14" t="inlineStr">
        <is>
          <t>Still short of the long call breakeven.</t>
        </is>
      </c>
    </row>
    <row r="12">
      <c r="A12" s="40" t="n">
        <v>515.22</v>
      </c>
      <c r="B12" s="41" t="n">
        <v>0.04000000000000004</v>
      </c>
      <c r="C12" s="43" t="n">
        <v>151.3500000000027</v>
      </c>
      <c r="D12" s="42" t="n">
        <v>-1255.65</v>
      </c>
      <c r="E12" s="43" t="n">
        <v>809.35</v>
      </c>
      <c r="F12" s="43" t="n">
        <v>2591.350000000005</v>
      </c>
      <c r="G12" s="44" t="inlineStr">
        <is>
          <t>The long call turns positive.</t>
        </is>
      </c>
    </row>
    <row r="13">
      <c r="A13" s="20" t="n">
        <v>525.12</v>
      </c>
      <c r="B13" s="28" t="n">
        <v>0.06000000000000005</v>
      </c>
      <c r="C13" s="37" t="n">
        <v>1141.35</v>
      </c>
      <c r="D13" s="38" t="n">
        <v>-1255.65</v>
      </c>
      <c r="E13" s="37" t="n">
        <v>809.35</v>
      </c>
      <c r="F13" s="37" t="n">
        <v>3069.350000000002</v>
      </c>
      <c r="G13" s="14" t="inlineStr">
        <is>
          <t>The covered call has hit its cap. Every further gain goes to the call buyer.</t>
        </is>
      </c>
    </row>
    <row r="14">
      <c r="A14" s="40" t="n">
        <v>535.03</v>
      </c>
      <c r="B14" s="41" t="n">
        <v>0.08000000000000007</v>
      </c>
      <c r="C14" s="43" t="n">
        <v>2132.349999999997</v>
      </c>
      <c r="D14" s="42" t="n">
        <v>-1255.65</v>
      </c>
      <c r="E14" s="43" t="n">
        <v>809.35</v>
      </c>
      <c r="F14" s="43" t="n">
        <v>3069.350000000002</v>
      </c>
      <c r="G14" s="44" t="inlineStr">
        <is>
          <t>The covered call is capped, the long call keeps running.</t>
        </is>
      </c>
    </row>
    <row r="15">
      <c r="A15" s="20" t="n">
        <v>554.85</v>
      </c>
      <c r="B15" s="28" t="n">
        <v>0.1200000000000001</v>
      </c>
      <c r="C15" s="37" t="n">
        <v>4114.350000000002</v>
      </c>
      <c r="D15" s="38" t="n">
        <v>-1255.65</v>
      </c>
      <c r="E15" s="37" t="n">
        <v>809.35</v>
      </c>
      <c r="F15" s="37" t="n">
        <v>3069.350000000002</v>
      </c>
      <c r="G15" s="14" t="inlineStr">
        <is>
          <t>The gap between capped and uncapped upside is now obvious.</t>
        </is>
      </c>
    </row>
    <row r="17" ht="22" customHeight="1">
      <c r="A17" s="3" t="inlineStr">
        <is>
          <t>Breakeven prices</t>
        </is>
      </c>
    </row>
    <row r="18" ht="30" customHeight="1">
      <c r="A18" s="7" t="inlineStr">
        <is>
          <t>Position</t>
        </is>
      </c>
      <c r="B18" s="7" t="inlineStr">
        <is>
          <t>Breakeven</t>
        </is>
      </c>
      <c r="C18" s="7" t="inlineStr">
        <is>
          <t>Move needed</t>
        </is>
      </c>
      <c r="D18" s="7" t="inlineStr">
        <is>
          <t>Max profit</t>
        </is>
      </c>
      <c r="E18" s="7" t="inlineStr">
        <is>
          <t>Max loss</t>
        </is>
      </c>
      <c r="F18" s="7" t="inlineStr">
        <is>
          <t>Probability of profit</t>
        </is>
      </c>
      <c r="G18" s="7" t="inlineStr">
        <is>
          <t>Direction it needs</t>
        </is>
      </c>
    </row>
    <row r="19">
      <c r="A19" s="5" t="inlineStr">
        <is>
          <t>Long Call</t>
        </is>
      </c>
      <c r="B19" s="20" t="n">
        <v>513.7065</v>
      </c>
      <c r="C19" s="28" t="n">
        <v>0.03695296729915226</v>
      </c>
      <c r="D19" s="36" t="inlineStr">
        <is>
          <t>No ceiling</t>
        </is>
      </c>
      <c r="E19" s="38" t="n">
        <v>-1370.65</v>
      </c>
      <c r="F19" s="45" t="n">
        <v>0.317815337178163</v>
      </c>
      <c r="G19" s="14" t="inlineStr">
        <is>
          <t>Up, past the breakeven, before expiry</t>
        </is>
      </c>
    </row>
    <row r="20">
      <c r="A20" s="5" t="inlineStr">
        <is>
          <t>Long Put</t>
        </is>
      </c>
      <c r="B20" s="20" t="n">
        <v>477.4435</v>
      </c>
      <c r="C20" s="28" t="n">
        <v>-0.0362464675010093</v>
      </c>
      <c r="D20" s="37" t="n">
        <v>47744.35</v>
      </c>
      <c r="E20" s="38" t="n">
        <v>-1255.65</v>
      </c>
      <c r="F20" s="45" t="n">
        <v>0.3242476494435751</v>
      </c>
      <c r="G20" s="14" t="inlineStr">
        <is>
          <t>Down, past the breakeven, before expiry</t>
        </is>
      </c>
    </row>
    <row r="21">
      <c r="A21" s="5" t="inlineStr">
        <is>
          <t>Cash-Secured Put</t>
        </is>
      </c>
      <c r="B21" s="20" t="n">
        <v>471.9065</v>
      </c>
      <c r="C21" s="28" t="n">
        <v>-0.04742329430763017</v>
      </c>
      <c r="D21" s="37" t="n">
        <v>809.35</v>
      </c>
      <c r="E21" s="38" t="n">
        <v>-47190.65</v>
      </c>
      <c r="F21" s="45" t="n">
        <v>0.7343023980363007</v>
      </c>
      <c r="G21" s="14" t="inlineStr">
        <is>
          <t>Flat or up, or down no further than the breakeven</t>
        </is>
      </c>
    </row>
    <row r="22">
      <c r="A22" s="5" t="inlineStr">
        <is>
          <t>Covered Call</t>
        </is>
      </c>
      <c r="B22" s="20" t="n">
        <v>489.3065</v>
      </c>
      <c r="C22" s="28" t="n">
        <v>-0.01230016148566816</v>
      </c>
      <c r="D22" s="37" t="n">
        <v>3069.350000000002</v>
      </c>
      <c r="E22" s="38" t="n">
        <v>-48930.64999999999</v>
      </c>
      <c r="F22" s="45" t="n">
        <v>0.5668682864007182</v>
      </c>
      <c r="G22" s="14" t="inlineStr">
        <is>
          <t>Flat to mildly up, and no sharp fall</t>
        </is>
      </c>
    </row>
    <row r="24" ht="22" customHeight="1">
      <c r="A24" s="3" t="inlineStr">
        <is>
          <t>The trade-off in one sentence</t>
        </is>
      </c>
    </row>
    <row r="25" ht="30" customHeight="1">
      <c r="A25" s="46" t="inlineStr">
        <is>
          <t>Across this ladder the two long positions have the widest range of outcomes and the lowest probability of any profit, and the two short positions have the narrowest range of outcomes and the highest probability of a small one. Neither of those facts makes one structure better than the other. They describe the shape of the payoff, not the quality of the idea behind it.</t>
        </is>
      </c>
    </row>
    <row r="26"/>
    <row r="28" ht="22" customHeight="1">
      <c r="A28" s="3" t="inlineStr">
        <is>
          <t>MarketXLS Functions Used in This Sheet</t>
        </is>
      </c>
    </row>
    <row r="29">
      <c r="A29" s="8">
        <f>QM_Last("MSFT")</f>
        <v/>
      </c>
      <c r="B29" s="9" t="inlineStr">
        <is>
          <t>Underlying price the ladder is centred on</t>
        </is>
      </c>
    </row>
    <row r="30">
      <c r="A30" s="8">
        <f>Option_StrikePrice(symbol)</f>
        <v/>
      </c>
      <c r="B30" s="9" t="inlineStr">
        <is>
          <t>Strike read back off a contract symbol</t>
        </is>
      </c>
    </row>
    <row r="31">
      <c r="A31" s="8">
        <f>Option_ExpirationDate(symbol)</f>
        <v/>
      </c>
      <c r="B31" s="9" t="inlineStr">
        <is>
          <t>Expiry read back off a contract symbol</t>
        </is>
      </c>
    </row>
    <row r="32">
      <c r="A32" s="8">
        <f>Option_Last_Price(symbol)</f>
        <v/>
      </c>
      <c r="B32" s="9" t="inlineStr">
        <is>
          <t>Last traded contract price</t>
        </is>
      </c>
    </row>
    <row r="34" ht="20" customHeight="1">
      <c r="A34" s="10" t="inlineStr">
        <is>
          <t>Powered by MarketXLS   |   https://marketxls.com   |   Book a demo: https://marketxls.com/book-demo   |   https://optionxls.com</t>
        </is>
      </c>
    </row>
  </sheetData>
  <mergeCells count="12">
    <mergeCell ref="A1:G1"/>
    <mergeCell ref="A17:G17"/>
    <mergeCell ref="A25:G26"/>
    <mergeCell ref="B31:G31"/>
    <mergeCell ref="A34:G34"/>
    <mergeCell ref="A4:G4"/>
    <mergeCell ref="B32:G32"/>
    <mergeCell ref="A24:G24"/>
    <mergeCell ref="A2:G2"/>
    <mergeCell ref="B30:G30"/>
    <mergeCell ref="B29:G29"/>
    <mergeCell ref="A28:G28"/>
  </mergeCells>
  <conditionalFormatting sqref="C6:C15">
    <cfRule type="cellIs" priority="1" operator="lessThan" dxfId="0">
      <formula>0</formula>
    </cfRule>
  </conditionalFormatting>
  <conditionalFormatting sqref="D6:D15">
    <cfRule type="cellIs" priority="2" operator="lessThan" dxfId="0">
      <formula>0</formula>
    </cfRule>
  </conditionalFormatting>
  <conditionalFormatting sqref="E6:E15">
    <cfRule type="cellIs" priority="3" operator="lessThan" dxfId="0">
      <formula>0</formula>
    </cfRule>
  </conditionalFormatting>
  <conditionalFormatting sqref="F6:F15">
    <cfRule type="cellIs" priority="4" operator="lessThan" dxfId="0">
      <formula>0</formula>
    </cfRule>
  </conditionalFormatting>
  <pageMargins left="0.75" right="0.75" top="1" bottom="1" header="0.5" footer="0.5"/>
</worksheet>
</file>

<file path=xl/worksheets/sheet5.xml><?xml version="1.0" encoding="utf-8"?>
<worksheet xmlns="http://schemas.openxmlformats.org/spreadsheetml/2006/main">
  <sheetPr>
    <tabColor rgb="000066CC"/>
    <outlinePr summaryBelow="1" summaryRight="1"/>
    <pageSetUpPr/>
  </sheetPr>
  <dimension ref="A1:H33"/>
  <sheetViews>
    <sheetView workbookViewId="0">
      <pane xSplit="2" ySplit="5" topLeftCell="C6" activePane="bottomRight" state="frozen"/>
      <selection pane="topRight"/>
      <selection pane="bottomLeft"/>
      <selection pane="bottomRight" activeCell="A1" sqref="A1"/>
    </sheetView>
  </sheetViews>
  <sheetFormatPr baseColWidth="8" defaultRowHeight="15"/>
  <cols>
    <col width="17" customWidth="1" min="1" max="1"/>
    <col width="13" customWidth="1" min="2" max="2"/>
    <col width="14" customWidth="1" min="3" max="3"/>
    <col width="14" customWidth="1" min="4" max="4"/>
    <col width="14" customWidth="1" min="5" max="5"/>
    <col width="14" customWidth="1" min="6" max="6"/>
    <col width="14" customWidth="1" min="7" max="7"/>
    <col width="34" customWidth="1" min="8" max="8"/>
  </cols>
  <sheetData>
    <row r="1" ht="30" customHeight="1">
      <c r="A1" s="1" t="inlineStr">
        <is>
          <t>Scenario Analysis   |   value of the selected position over time</t>
        </is>
      </c>
    </row>
    <row r="2" ht="20" customHeight="1">
      <c r="A2" s="2" t="inlineStr">
        <is>
          <t>Long Call, MSFT $500 strike, 2026-09-18, implied volatility held at 25.23%</t>
        </is>
      </c>
    </row>
    <row r="4" ht="22" customHeight="1">
      <c r="A4" s="3" t="inlineStr">
        <is>
          <t>Contract value per share, by price and by day held</t>
        </is>
      </c>
    </row>
    <row r="5" ht="30" customHeight="1">
      <c r="A5" s="7" t="inlineStr">
        <is>
          <t>Stock price</t>
        </is>
      </c>
      <c r="B5" s="7" t="inlineStr">
        <is>
          <t>Move</t>
        </is>
      </c>
      <c r="C5" s="7" t="inlineStr">
        <is>
          <t>Day 7</t>
        </is>
      </c>
      <c r="D5" s="7" t="inlineStr">
        <is>
          <t>Day 14</t>
        </is>
      </c>
      <c r="E5" s="7" t="inlineStr">
        <is>
          <t>Day 21</t>
        </is>
      </c>
      <c r="F5" s="7" t="inlineStr">
        <is>
          <t>Day 28</t>
        </is>
      </c>
      <c r="G5" s="7" t="inlineStr">
        <is>
          <t>At expiry</t>
        </is>
      </c>
      <c r="H5" s="7" t="inlineStr">
        <is>
          <t>Reading</t>
        </is>
      </c>
    </row>
    <row r="6">
      <c r="A6" s="20" t="n">
        <v>445.86</v>
      </c>
      <c r="B6" s="28" t="n">
        <v>-0.09999999999999998</v>
      </c>
      <c r="C6" s="35" t="n">
        <v>0.6867022502943634</v>
      </c>
      <c r="D6" s="35" t="n">
        <v>0.2976826752923429</v>
      </c>
      <c r="E6" s="35" t="n">
        <v>0.06401181620268215</v>
      </c>
      <c r="F6" s="35" t="n">
        <v>0.0007999901684451749</v>
      </c>
      <c r="G6" s="35" t="n">
        <v>0</v>
      </c>
      <c r="H6" s="14" t="inlineStr">
        <is>
          <t>Deep out of the money, time value nearly gone by day 28.</t>
        </is>
      </c>
    </row>
    <row r="7">
      <c r="A7" s="20" t="n">
        <v>470.63</v>
      </c>
      <c r="B7" s="28" t="n">
        <v>-0.04999999999999993</v>
      </c>
      <c r="C7" s="35" t="n">
        <v>3.652660466516878</v>
      </c>
      <c r="D7" s="35" t="n">
        <v>2.395281438665208</v>
      </c>
      <c r="E7" s="35" t="n">
        <v>1.169591625970583</v>
      </c>
      <c r="F7" s="35" t="n">
        <v>0.1941382074237676</v>
      </c>
      <c r="G7" s="35" t="n">
        <v>0</v>
      </c>
      <c r="H7" s="14" t="inlineStr">
        <is>
          <t>Still below the strike, the model value bleeds steadily.</t>
        </is>
      </c>
    </row>
    <row r="8">
      <c r="A8" s="20" t="n">
        <v>495.4</v>
      </c>
      <c r="B8" s="28" t="n">
        <v>0</v>
      </c>
      <c r="C8" s="35" t="n">
        <v>11.92136518166936</v>
      </c>
      <c r="D8" s="35" t="n">
        <v>9.915278828477909</v>
      </c>
      <c r="E8" s="35" t="n">
        <v>7.550148420408476</v>
      </c>
      <c r="F8" s="35" t="n">
        <v>4.476438738277835</v>
      </c>
      <c r="G8" s="35" t="n">
        <v>0</v>
      </c>
      <c r="H8" s="14" t="inlineStr">
        <is>
          <t>Unchanged stock, and the contract still loses its whole premium.</t>
        </is>
      </c>
    </row>
    <row r="9">
      <c r="A9" s="20" t="n">
        <v>510.26</v>
      </c>
      <c r="B9" s="28" t="n">
        <v>0.02999596285829642</v>
      </c>
      <c r="C9" s="35" t="n">
        <v>20.21448972427049</v>
      </c>
      <c r="D9" s="35" t="n">
        <v>18.23042068519254</v>
      </c>
      <c r="E9" s="35" t="n">
        <v>15.92938539231312</v>
      </c>
      <c r="F9" s="35" t="n">
        <v>13.06999626752832</v>
      </c>
      <c r="G9" s="35" t="n">
        <v>10.25999999999999</v>
      </c>
      <c r="H9" s="14" t="inlineStr">
        <is>
          <t>Above the strike but below breakeven. In profit on day 7, a loss if held to expiry.</t>
        </is>
      </c>
    </row>
    <row r="10">
      <c r="A10" s="20" t="n">
        <v>525.12</v>
      </c>
      <c r="B10" s="28" t="n">
        <v>0.05999192571659262</v>
      </c>
      <c r="C10" s="35" t="n">
        <v>30.83489508169231</v>
      </c>
      <c r="D10" s="35" t="n">
        <v>29.20077538635826</v>
      </c>
      <c r="E10" s="35" t="n">
        <v>27.48046313673041</v>
      </c>
      <c r="F10" s="35" t="n">
        <v>25.813732818255</v>
      </c>
      <c r="G10" s="35" t="n">
        <v>25.12</v>
      </c>
      <c r="H10" s="14" t="inlineStr">
        <is>
          <t>Past breakeven, the position is working.</t>
        </is>
      </c>
    </row>
    <row r="11">
      <c r="A11" s="20" t="n">
        <v>544.9400000000001</v>
      </c>
      <c r="B11" s="28" t="n">
        <v>0.1000000000000001</v>
      </c>
      <c r="C11" s="35" t="n">
        <v>47.68736253884197</v>
      </c>
      <c r="D11" s="35" t="n">
        <v>46.66790942308882</v>
      </c>
      <c r="E11" s="35" t="n">
        <v>45.78514058879307</v>
      </c>
      <c r="F11" s="35" t="n">
        <v>45.19775701451204</v>
      </c>
      <c r="G11" s="35" t="n">
        <v>44.94000000000005</v>
      </c>
      <c r="H11" s="14" t="inlineStr">
        <is>
          <t>A large move, and time value now matters far less than direction.</t>
        </is>
      </c>
    </row>
    <row r="13" ht="22" customHeight="1">
      <c r="A13" s="3" t="inlineStr">
        <is>
          <t>Profit and loss on the whole position</t>
        </is>
      </c>
    </row>
    <row r="14" ht="30" customHeight="1">
      <c r="A14" s="7" t="inlineStr">
        <is>
          <t>Stock price</t>
        </is>
      </c>
      <c r="B14" s="7" t="inlineStr">
        <is>
          <t>Move</t>
        </is>
      </c>
      <c r="C14" s="7" t="inlineStr">
        <is>
          <t>Day 7</t>
        </is>
      </c>
      <c r="D14" s="7" t="inlineStr">
        <is>
          <t>Day 14</t>
        </is>
      </c>
      <c r="E14" s="7" t="inlineStr">
        <is>
          <t>Day 21</t>
        </is>
      </c>
      <c r="F14" s="7" t="inlineStr">
        <is>
          <t>Day 28</t>
        </is>
      </c>
      <c r="G14" s="7" t="inlineStr">
        <is>
          <t>At expiry</t>
        </is>
      </c>
      <c r="H14" s="7" t="inlineStr">
        <is>
          <t>Reading</t>
        </is>
      </c>
    </row>
    <row r="15">
      <c r="A15" s="20" t="n">
        <v>445.86</v>
      </c>
      <c r="B15" s="28" t="n">
        <v>-0.09999999999999998</v>
      </c>
      <c r="C15" s="38" t="n">
        <v>-1301.979774970564</v>
      </c>
      <c r="D15" s="38" t="n">
        <v>-1340.881732470766</v>
      </c>
      <c r="E15" s="38" t="n">
        <v>-1364.248818379732</v>
      </c>
      <c r="F15" s="38" t="n">
        <v>-1370.570000983156</v>
      </c>
      <c r="G15" s="38" t="n">
        <v>-1370.65</v>
      </c>
      <c r="H15" s="14" t="inlineStr">
        <is>
          <t>Cost of $1370.65 is subtracted from every cell.</t>
        </is>
      </c>
    </row>
    <row r="16">
      <c r="A16" s="20" t="n">
        <v>470.63</v>
      </c>
      <c r="B16" s="28" t="n">
        <v>-0.04999999999999993</v>
      </c>
      <c r="C16" s="38" t="n">
        <v>-1005.383953348312</v>
      </c>
      <c r="D16" s="38" t="n">
        <v>-1131.121856133479</v>
      </c>
      <c r="E16" s="38" t="n">
        <v>-1253.690837402942</v>
      </c>
      <c r="F16" s="38" t="n">
        <v>-1351.236179257623</v>
      </c>
      <c r="G16" s="38" t="n">
        <v>-1370.65</v>
      </c>
      <c r="H16" s="14" t="inlineStr"/>
    </row>
    <row r="17">
      <c r="A17" s="20" t="n">
        <v>495.4</v>
      </c>
      <c r="B17" s="28" t="n">
        <v>0</v>
      </c>
      <c r="C17" s="38" t="n">
        <v>-178.5134818330644</v>
      </c>
      <c r="D17" s="38" t="n">
        <v>-379.1221171522092</v>
      </c>
      <c r="E17" s="38" t="n">
        <v>-615.6351579591525</v>
      </c>
      <c r="F17" s="38" t="n">
        <v>-923.0061261722166</v>
      </c>
      <c r="G17" s="38" t="n">
        <v>-1370.65</v>
      </c>
      <c r="H17" s="14" t="inlineStr"/>
    </row>
    <row r="18">
      <c r="A18" s="20" t="n">
        <v>510.26</v>
      </c>
      <c r="B18" s="28" t="n">
        <v>0.02999596285829642</v>
      </c>
      <c r="C18" s="37" t="n">
        <v>650.7989724270492</v>
      </c>
      <c r="D18" s="37" t="n">
        <v>452.3920685192541</v>
      </c>
      <c r="E18" s="37" t="n">
        <v>222.2885392313121</v>
      </c>
      <c r="F18" s="38" t="n">
        <v>-63.65037324716764</v>
      </c>
      <c r="G18" s="38" t="n">
        <v>-344.650000000001</v>
      </c>
      <c r="H18" s="14" t="inlineStr"/>
    </row>
    <row r="19">
      <c r="A19" s="20" t="n">
        <v>525.12</v>
      </c>
      <c r="B19" s="28" t="n">
        <v>0.05999192571659262</v>
      </c>
      <c r="C19" s="37" t="n">
        <v>1712.839508169231</v>
      </c>
      <c r="D19" s="37" t="n">
        <v>1549.427538635826</v>
      </c>
      <c r="E19" s="37" t="n">
        <v>1377.39631367304</v>
      </c>
      <c r="F19" s="37" t="n">
        <v>1210.7232818255</v>
      </c>
      <c r="G19" s="37" t="n">
        <v>1141.35</v>
      </c>
      <c r="H19" s="14" t="inlineStr"/>
    </row>
    <row r="20">
      <c r="A20" s="20" t="n">
        <v>544.9400000000001</v>
      </c>
      <c r="B20" s="28" t="n">
        <v>0.1000000000000001</v>
      </c>
      <c r="C20" s="37" t="n">
        <v>3398.086253884197</v>
      </c>
      <c r="D20" s="37" t="n">
        <v>3296.140942308881</v>
      </c>
      <c r="E20" s="37" t="n">
        <v>3207.864058879307</v>
      </c>
      <c r="F20" s="37" t="n">
        <v>3149.125701451203</v>
      </c>
      <c r="G20" s="37" t="n">
        <v>3123.350000000005</v>
      </c>
      <c r="H20" s="14" t="inlineStr"/>
    </row>
    <row r="22" ht="22" customHeight="1">
      <c r="A22" s="3" t="inlineStr">
        <is>
          <t>What the grid is telling you</t>
        </is>
      </c>
    </row>
    <row r="23" ht="32" customHeight="1">
      <c r="A23" s="5" t="inlineStr">
        <is>
          <t>Time value is not lost evenly</t>
        </is>
      </c>
      <c r="B23" s="6" t="inlineStr">
        <is>
          <t>Look along any row. The value falls slowly at first and then quickly in the last two weeks. That is why the same forecast can be right and still lose money if the timing is late.</t>
        </is>
      </c>
    </row>
    <row r="24" ht="32" customHeight="1">
      <c r="A24" s="5" t="inlineStr">
        <is>
          <t>The expiry column is the worst case for a buyer</t>
        </is>
      </c>
      <c r="B24" s="6" t="inlineStr">
        <is>
          <t>Every earlier column sits above it at the same price, because the contract still holds time value. Closing before expiry usually recovers some of that.</t>
        </is>
      </c>
    </row>
    <row r="25" ht="32" customHeight="1">
      <c r="A25" s="5" t="inlineStr">
        <is>
          <t>Implied volatility is held constant here</t>
        </is>
      </c>
      <c r="B25" s="6" t="inlineStr">
        <is>
          <t>A real position also moves when implied volatility moves. Use the vega figure on the Greeks Lab sheet to size that separately.</t>
        </is>
      </c>
    </row>
    <row r="27" ht="22" customHeight="1">
      <c r="A27" s="3" t="inlineStr">
        <is>
          <t>MarketXLS Functions Used in This Sheet</t>
        </is>
      </c>
    </row>
    <row r="28">
      <c r="A28" s="8">
        <f>opt_Theta(spot,price,expiry,"Call",strike)</f>
        <v/>
      </c>
      <c r="B28" s="9" t="inlineStr">
        <is>
          <t>Daily time decay</t>
        </is>
      </c>
    </row>
    <row r="29">
      <c r="A29" s="8">
        <f>opt_Vega(spot,price,expiry,"Call",strike)</f>
        <v/>
      </c>
      <c r="B29" s="9" t="inlineStr">
        <is>
          <t>Volatility sensitivity</t>
        </is>
      </c>
    </row>
    <row r="30">
      <c r="A30" s="8">
        <f>ImpliedVolatility30d("MSFT")</f>
        <v/>
      </c>
      <c r="B30" s="9" t="inlineStr">
        <is>
          <t>30-day implied volatility</t>
        </is>
      </c>
    </row>
    <row r="31">
      <c r="A31" s="8">
        <f>ImpliedVolatilityPct1y("MSFT")</f>
        <v/>
      </c>
      <c r="B31" s="9" t="inlineStr">
        <is>
          <t>Implied volatility percentile</t>
        </is>
      </c>
    </row>
    <row r="33" ht="20" customHeight="1">
      <c r="A33" s="10" t="inlineStr">
        <is>
          <t>Powered by MarketXLS   |   https://marketxls.com   |   Book a demo: https://marketxls.com/book-demo   |   https://optionxls.com</t>
        </is>
      </c>
    </row>
  </sheetData>
  <mergeCells count="14">
    <mergeCell ref="A4:H4"/>
    <mergeCell ref="B28:H28"/>
    <mergeCell ref="A2:H2"/>
    <mergeCell ref="B31:H31"/>
    <mergeCell ref="B24:H24"/>
    <mergeCell ref="A13:H13"/>
    <mergeCell ref="B30:H30"/>
    <mergeCell ref="B25:H25"/>
    <mergeCell ref="B29:H29"/>
    <mergeCell ref="A1:H1"/>
    <mergeCell ref="A33:H33"/>
    <mergeCell ref="A27:H27"/>
    <mergeCell ref="A22:H22"/>
    <mergeCell ref="B23:H23"/>
  </mergeCells>
  <conditionalFormatting sqref="C6:G11">
    <cfRule type="colorScale" priority="1">
      <colorScale>
        <cfvo type="min"/>
        <cfvo type="percentile" val="50"/>
        <cfvo type="max"/>
        <color rgb="00FDEDEC"/>
        <color rgb="00FEF9E7"/>
        <color rgb="00E8F6EF"/>
      </colorScale>
    </cfRule>
  </conditionalFormatting>
  <pageMargins left="0.75" right="0.75" top="1" bottom="1" header="0.5" footer="0.5"/>
</worksheet>
</file>

<file path=xl/worksheets/sheet6.xml><?xml version="1.0" encoding="utf-8"?>
<worksheet xmlns="http://schemas.openxmlformats.org/spreadsheetml/2006/main">
  <sheetPr>
    <tabColor rgb="000066CC"/>
    <outlinePr summaryBelow="1" summaryRight="1"/>
    <pageSetUpPr/>
  </sheetPr>
  <dimension ref="A1:F42"/>
  <sheetViews>
    <sheetView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18" customWidth="1" min="2" max="2"/>
    <col width="18" customWidth="1" min="3" max="3"/>
    <col width="18" customWidth="1" min="4" max="4"/>
    <col width="18" customWidth="1" min="5" max="5"/>
    <col width="40" customWidth="1" min="6" max="6"/>
  </cols>
  <sheetData>
    <row r="1" ht="30" customHeight="1">
      <c r="A1" s="1" t="inlineStr">
        <is>
          <t>Probability &amp; Sizing   |   odds, expected value and position size</t>
        </is>
      </c>
    </row>
    <row r="2" ht="20" customHeight="1">
      <c r="A2" s="2" t="inlineStr">
        <is>
          <t>Risk-neutral probabilities from the same model that prices the contracts</t>
        </is>
      </c>
    </row>
    <row r="4" ht="22" customHeight="1">
      <c r="A4" s="3" t="inlineStr">
        <is>
          <t>Probability at expiry</t>
        </is>
      </c>
    </row>
    <row r="5" ht="30" customHeight="1">
      <c r="A5" s="7" t="inlineStr">
        <is>
          <t>Measure</t>
        </is>
      </c>
      <c r="B5" s="7" t="inlineStr">
        <is>
          <t>Long Call</t>
        </is>
      </c>
      <c r="C5" s="7" t="inlineStr">
        <is>
          <t>Long Put</t>
        </is>
      </c>
      <c r="D5" s="7" t="inlineStr">
        <is>
          <t>Cash-Secured Put</t>
        </is>
      </c>
      <c r="E5" s="7" t="inlineStr">
        <is>
          <t>Covered Call</t>
        </is>
      </c>
      <c r="F5" s="7" t="inlineStr">
        <is>
          <t>Note</t>
        </is>
      </c>
    </row>
    <row r="6">
      <c r="A6" s="5" t="inlineStr">
        <is>
          <t>Probability of profit</t>
        </is>
      </c>
      <c r="B6" s="39" t="n">
        <v>0.317815337178163</v>
      </c>
      <c r="C6" s="39" t="n">
        <v>0.3242476494435751</v>
      </c>
      <c r="D6" s="39" t="n">
        <v>0.7343023980363007</v>
      </c>
      <c r="E6" s="39" t="n">
        <v>0.5668682864007182</v>
      </c>
      <c r="F6" s="14" t="inlineStr">
        <is>
          <t>Chance the position is above water at expiry.</t>
        </is>
      </c>
    </row>
    <row r="7">
      <c r="A7" s="5" t="inlineStr">
        <is>
          <t>Probability of maximum loss</t>
        </is>
      </c>
      <c r="B7" s="45" t="n">
        <v>0.5488019988302344</v>
      </c>
      <c r="C7" s="45" t="n">
        <v>0.5522997905013691</v>
      </c>
      <c r="D7" s="45" t="n">
        <v>0</v>
      </c>
      <c r="E7" s="45" t="n">
        <v>0</v>
      </c>
      <c r="F7" s="14" t="inlineStr">
        <is>
          <t>For buyers, the chance of finishing worthless.</t>
        </is>
      </c>
    </row>
    <row r="8">
      <c r="A8" s="5" t="inlineStr">
        <is>
          <t>Probability the option expires worthless</t>
        </is>
      </c>
      <c r="B8" s="45" t="n">
        <v>0.5488019988302344</v>
      </c>
      <c r="C8" s="45" t="n">
        <v>0.5522997905013691</v>
      </c>
      <c r="D8" s="45" t="n">
        <v>0.6575583010558912</v>
      </c>
      <c r="E8" s="45" t="n">
        <v>0.7442508994980436</v>
      </c>
      <c r="F8" s="14" t="inlineStr">
        <is>
          <t>Good news for the seller, total loss for the buyer.</t>
        </is>
      </c>
    </row>
    <row r="9">
      <c r="A9" s="5" t="inlineStr">
        <is>
          <t>Probability of assignment risk</t>
        </is>
      </c>
      <c r="B9" s="45" t="n">
        <v>0</v>
      </c>
      <c r="C9" s="45" t="n">
        <v>0</v>
      </c>
      <c r="D9" s="45" t="n">
        <v>0.3424416989441088</v>
      </c>
      <c r="E9" s="45" t="n">
        <v>0.2557491005019564</v>
      </c>
      <c r="F9" s="14" t="inlineStr">
        <is>
          <t>Chance the short leg finishes in the money.</t>
        </is>
      </c>
    </row>
    <row r="10">
      <c r="A10" s="5" t="inlineStr">
        <is>
          <t>Break even needs a move of</t>
        </is>
      </c>
      <c r="B10" s="28" t="n">
        <v>0.03695296729915226</v>
      </c>
      <c r="C10" s="28" t="n">
        <v>-0.0362464675010093</v>
      </c>
      <c r="D10" s="28" t="n">
        <v>-0.04742329430763017</v>
      </c>
      <c r="E10" s="28" t="n">
        <v>-0.01230016148566816</v>
      </c>
      <c r="F10" s="14" t="inlineStr">
        <is>
          <t>Negative means the stock can fall and the position still pays.</t>
        </is>
      </c>
    </row>
    <row r="12" ht="22" customHeight="1">
      <c r="A12" s="3" t="inlineStr">
        <is>
          <t>Position sizing from your own account</t>
        </is>
      </c>
    </row>
    <row r="13">
      <c r="A13" s="5" t="inlineStr">
        <is>
          <t>Portfolio value</t>
        </is>
      </c>
      <c r="B13" s="47" t="n">
        <v>100000</v>
      </c>
      <c r="C13" s="12" t="inlineStr">
        <is>
          <t>Yellow input</t>
        </is>
      </c>
    </row>
    <row r="14">
      <c r="A14" s="5" t="inlineStr">
        <is>
          <t>Risk budget for one idea</t>
        </is>
      </c>
      <c r="B14" s="48" t="n">
        <v>0.02</v>
      </c>
      <c r="C14" s="12" t="inlineStr">
        <is>
          <t>Yellow input</t>
        </is>
      </c>
    </row>
    <row r="15">
      <c r="A15" s="5" t="inlineStr">
        <is>
          <t>Dollars at risk</t>
        </is>
      </c>
      <c r="B15" s="20">
        <f>$B$13*$B$14</f>
        <v/>
      </c>
    </row>
    <row r="17" ht="30" customHeight="1">
      <c r="A17" s="7" t="inlineStr">
        <is>
          <t>Position</t>
        </is>
      </c>
      <c r="B17" s="7" t="inlineStr">
        <is>
          <t>Max loss per contract</t>
        </is>
      </c>
      <c r="C17" s="7" t="inlineStr">
        <is>
          <t>Contracts at budget</t>
        </is>
      </c>
      <c r="D17" s="7" t="inlineStr">
        <is>
          <t>Whole contracts you can trade</t>
        </is>
      </c>
      <c r="E17" s="7" t="inlineStr">
        <is>
          <t>Capital that ties up</t>
        </is>
      </c>
      <c r="F17" s="7" t="inlineStr">
        <is>
          <t>Note</t>
        </is>
      </c>
    </row>
    <row r="18">
      <c r="A18" s="5" t="inlineStr">
        <is>
          <t>Long Call</t>
        </is>
      </c>
      <c r="B18" s="38" t="n">
        <v>1370.65</v>
      </c>
      <c r="C18" s="18">
        <f>$B$15/B18</f>
        <v/>
      </c>
      <c r="D18" s="17">
        <f>ROUNDDOWN(C18,0)</f>
        <v/>
      </c>
      <c r="E18" s="35">
        <f>D18*1370.65</f>
        <v/>
      </c>
      <c r="F18" s="14" t="inlineStr">
        <is>
          <t>Loss is capped at the premium, so sizing is simple.</t>
        </is>
      </c>
    </row>
    <row r="19">
      <c r="A19" s="5" t="inlineStr">
        <is>
          <t>Long Put</t>
        </is>
      </c>
      <c r="B19" s="38" t="n">
        <v>1255.65</v>
      </c>
      <c r="C19" s="18">
        <f>$B$15/B19</f>
        <v/>
      </c>
      <c r="D19" s="17">
        <f>ROUNDDOWN(C19,0)</f>
        <v/>
      </c>
      <c r="E19" s="35">
        <f>D19*1255.65</f>
        <v/>
      </c>
      <c r="F19" s="14" t="inlineStr">
        <is>
          <t>Same arithmetic as the long call.</t>
        </is>
      </c>
    </row>
    <row r="20">
      <c r="A20" s="5" t="inlineStr">
        <is>
          <t>Cash-Secured Put</t>
        </is>
      </c>
      <c r="B20" s="38" t="n">
        <v>47190.65</v>
      </c>
      <c r="C20" s="18">
        <f>$B$15/B20</f>
        <v/>
      </c>
      <c r="D20" s="49">
        <f>ROUNDDOWN(C20,0)</f>
        <v/>
      </c>
      <c r="E20" s="35">
        <f>D20*47190.65</f>
        <v/>
      </c>
      <c r="F20" s="14" t="inlineStr">
        <is>
          <t>Sized on the zero-price floor, so a 2% budget does not reach one contract.</t>
        </is>
      </c>
    </row>
    <row r="21">
      <c r="A21" s="5" t="inlineStr">
        <is>
          <t>Covered Call</t>
        </is>
      </c>
      <c r="B21" s="38" t="n">
        <v>48930.64999999999</v>
      </c>
      <c r="C21" s="18">
        <f>$B$15/B21</f>
        <v/>
      </c>
      <c r="D21" s="49">
        <f>ROUNDDOWN(C21,0)</f>
        <v/>
      </c>
      <c r="E21" s="35">
        <f>D21*48930.65</f>
        <v/>
      </c>
      <c r="F21" s="14" t="inlineStr">
        <is>
          <t>Same floor, and the shares are already the position.</t>
        </is>
      </c>
    </row>
    <row r="23" ht="30" customHeight="1">
      <c r="A23" s="50" t="inlineStr">
        <is>
          <t>Contracts trade in whole units. A 2% budget on a $100,000 account buys one long call or one long put here, and it does not reach a single cash-secured put or covered call on a $495 stock. That is the sizing answer, not a rounding problem.</t>
        </is>
      </c>
    </row>
    <row r="25" ht="22" customHeight="1">
      <c r="A25" s="3" t="inlineStr">
        <is>
          <t>Expected value at expiry</t>
        </is>
      </c>
    </row>
    <row r="26">
      <c r="A26" s="34" t="inlineStr">
        <is>
          <t>Expected value below is computed under the risk-neutral distribution the model uses to price these contracts. Under that distribution every fairly priced position has an expected value near zero before costs, which is exactly the point. The numbers show what the spread and the commission take out, not whether a trade is a good idea.</t>
        </is>
      </c>
    </row>
    <row r="27"/>
    <row r="29" ht="30" customHeight="1">
      <c r="A29" s="7" t="inlineStr">
        <is>
          <t>Position</t>
        </is>
      </c>
      <c r="B29" s="7" t="inlineStr">
        <is>
          <t>Model value of the leg</t>
        </is>
      </c>
      <c r="C29" s="7" t="inlineStr">
        <is>
          <t>Traded premium</t>
        </is>
      </c>
      <c r="D29" s="7" t="inlineStr">
        <is>
          <t>Spread and fee cost</t>
        </is>
      </c>
      <c r="E29" s="7" t="inlineStr">
        <is>
          <t>As percent of capital</t>
        </is>
      </c>
      <c r="F29" s="7" t="inlineStr">
        <is>
          <t>Note</t>
        </is>
      </c>
    </row>
    <row r="30">
      <c r="A30" s="5" t="inlineStr">
        <is>
          <t>Long Call</t>
        </is>
      </c>
      <c r="B30" s="35" t="n">
        <v>13.70000000000002</v>
      </c>
      <c r="C30" s="35" t="n">
        <v>13.7</v>
      </c>
      <c r="D30" s="38" t="n">
        <v>0.65</v>
      </c>
      <c r="E30" s="28" t="n">
        <v>0.0004742275562689235</v>
      </c>
      <c r="F30" s="14" t="inlineStr">
        <is>
          <t>Implied volatility is solved from the traded premium, so the model value equals it by construction. The cost column is the commission.</t>
        </is>
      </c>
    </row>
    <row r="31">
      <c r="A31" s="5" t="inlineStr">
        <is>
          <t>Long Put</t>
        </is>
      </c>
      <c r="B31" s="35" t="n">
        <v>12.55000000000001</v>
      </c>
      <c r="C31" s="35" t="n">
        <v>12.55</v>
      </c>
      <c r="D31" s="38" t="n">
        <v>0.65</v>
      </c>
      <c r="E31" s="28" t="n">
        <v>0.0005176601760044598</v>
      </c>
      <c r="F31" s="14" t="inlineStr"/>
    </row>
    <row r="32">
      <c r="A32" s="5" t="inlineStr">
        <is>
          <t>Cash-Secured Put</t>
        </is>
      </c>
      <c r="B32" s="35" t="n">
        <v>8.100000000000051</v>
      </c>
      <c r="C32" s="35" t="n">
        <v>8.1</v>
      </c>
      <c r="D32" s="38" t="n">
        <v>0.65</v>
      </c>
      <c r="E32" s="28" t="n">
        <v>1.377391495984904e-05</v>
      </c>
      <c r="F32" s="14" t="inlineStr"/>
    </row>
    <row r="33">
      <c r="A33" s="5" t="inlineStr">
        <is>
          <t>Covered Call</t>
        </is>
      </c>
      <c r="B33" s="35" t="n">
        <v>6.099999999999994</v>
      </c>
      <c r="C33" s="35" t="n">
        <v>6.1</v>
      </c>
      <c r="D33" s="38" t="n">
        <v>0.65</v>
      </c>
      <c r="E33" s="28" t="n">
        <v>1.32841072007014e-05</v>
      </c>
      <c r="F33" s="14" t="inlineStr"/>
    </row>
    <row r="35" ht="22" customHeight="1">
      <c r="A35" s="3" t="inlineStr">
        <is>
          <t>MarketXLS Functions Used in This Sheet</t>
        </is>
      </c>
    </row>
    <row r="36">
      <c r="A36" s="8">
        <f>ImpliedVolatilityRank1y("MSFT")</f>
        <v/>
      </c>
      <c r="B36" s="9" t="inlineStr">
        <is>
          <t>Implied volatility rank over a year</t>
        </is>
      </c>
    </row>
    <row r="37">
      <c r="A37" s="8">
        <f>ImpliedVolatilityPct1y("MSFT")</f>
        <v/>
      </c>
      <c r="B37" s="9" t="inlineStr">
        <is>
          <t>Implied volatility percentile</t>
        </is>
      </c>
    </row>
    <row r="38">
      <c r="A38" s="8">
        <f>StockVolatilityThirtyDays("MSFT")</f>
        <v/>
      </c>
      <c r="B38" s="9" t="inlineStr">
        <is>
          <t>30-day realized volatility</t>
        </is>
      </c>
    </row>
    <row r="39">
      <c r="A39" s="8">
        <f>opt_PutCallVolRatio("MSFT")</f>
        <v/>
      </c>
      <c r="B39" s="9" t="inlineStr">
        <is>
          <t>Put/call volume ratio</t>
        </is>
      </c>
    </row>
    <row r="40">
      <c r="A40" s="8">
        <f>opt_Vol_OI("MSFT")</f>
        <v/>
      </c>
      <c r="B40" s="9" t="inlineStr">
        <is>
          <t>Volume against open interest</t>
        </is>
      </c>
    </row>
    <row r="42" ht="20" customHeight="1">
      <c r="A42" s="10" t="inlineStr">
        <is>
          <t>Powered by MarketXLS   |   https://marketxls.com   |   Book a demo: https://marketxls.com/book-demo   |   https://optionxls.com</t>
        </is>
      </c>
    </row>
  </sheetData>
  <mergeCells count="14">
    <mergeCell ref="A2:F2"/>
    <mergeCell ref="B39:F39"/>
    <mergeCell ref="A42:F42"/>
    <mergeCell ref="B38:F38"/>
    <mergeCell ref="A1:F1"/>
    <mergeCell ref="A23:F23"/>
    <mergeCell ref="B37:F37"/>
    <mergeCell ref="A12:F12"/>
    <mergeCell ref="A4:F4"/>
    <mergeCell ref="A35:F35"/>
    <mergeCell ref="B36:F36"/>
    <mergeCell ref="B40:F40"/>
    <mergeCell ref="A26:F27"/>
    <mergeCell ref="A25:F25"/>
  </mergeCells>
  <pageMargins left="0.75" right="0.75" top="1" bottom="1" header="0.5" footer="0.5"/>
  <legacyDrawing xmlns:r="http://schemas.openxmlformats.org/officeDocument/2006/relationships" r:id="anysvml"/>
</worksheet>
</file>

<file path=xl/worksheets/sheet7.xml><?xml version="1.0" encoding="utf-8"?>
<worksheet xmlns="http://schemas.openxmlformats.org/spreadsheetml/2006/main">
  <sheetPr>
    <tabColor rgb="000066CC"/>
    <outlinePr summaryBelow="1" summaryRight="1"/>
    <pageSetUpPr/>
  </sheetPr>
  <dimension ref="A1:H46"/>
  <sheetViews>
    <sheetView workbookViewId="0">
      <pane ySplit="5" topLeftCell="A6" activePane="bottomLeft" state="frozen"/>
      <selection pane="bottomLeft" activeCell="A1" sqref="A1"/>
    </sheetView>
  </sheetViews>
  <sheetFormatPr baseColWidth="8" defaultRowHeight="15"/>
  <cols>
    <col width="12" customWidth="1" min="1" max="1"/>
    <col width="13" customWidth="1" min="2" max="2"/>
    <col width="12" customWidth="1" min="3" max="3"/>
    <col width="12" customWidth="1" min="4" max="4"/>
    <col width="12" customWidth="1" min="5" max="5"/>
    <col width="12" customWidth="1" min="6" max="6"/>
    <col width="12" customWidth="1" min="7" max="7"/>
    <col width="34" customWidth="1" min="8" max="8"/>
  </cols>
  <sheetData>
    <row r="1" ht="30" customHeight="1">
      <c r="A1" s="1" t="inlineStr">
        <is>
          <t>Greeks Lab   |   sensitivities across the strike ladder</t>
        </is>
      </c>
    </row>
    <row r="2" ht="20" customHeight="1">
      <c r="A2" s="2" t="inlineStr">
        <is>
          <t>MSFT calls and puts, 2026-09-18, 34 days to expiry</t>
        </is>
      </c>
    </row>
    <row r="4" ht="22" customHeight="1">
      <c r="A4" s="3" t="inlineStr">
        <is>
          <t>Call Greeks by strike</t>
        </is>
      </c>
    </row>
    <row r="5" ht="30" customHeight="1">
      <c r="A5" s="7" t="inlineStr">
        <is>
          <t>Strike</t>
        </is>
      </c>
      <c r="B5" s="7" t="inlineStr">
        <is>
          <t>Ask</t>
        </is>
      </c>
      <c r="C5" s="7" t="inlineStr">
        <is>
          <t>Implied vol</t>
        </is>
      </c>
      <c r="D5" s="7" t="inlineStr">
        <is>
          <t>Delta</t>
        </is>
      </c>
      <c r="E5" s="7" t="inlineStr">
        <is>
          <t>Gamma</t>
        </is>
      </c>
      <c r="F5" s="7" t="inlineStr">
        <is>
          <t>Theta</t>
        </is>
      </c>
      <c r="G5" s="7" t="inlineStr">
        <is>
          <t>Vega</t>
        </is>
      </c>
      <c r="H5" s="7" t="inlineStr">
        <is>
          <t>Reading</t>
        </is>
      </c>
    </row>
    <row r="6">
      <c r="A6" s="20" t="n">
        <v>480</v>
      </c>
      <c r="B6" s="35" t="n">
        <v>24.95</v>
      </c>
      <c r="C6" s="28" t="n">
        <v>0.2557242961450547</v>
      </c>
      <c r="D6" s="51" t="n">
        <v>0.6835826162248089</v>
      </c>
      <c r="E6" s="51" t="n">
        <v>0.009193086492982647</v>
      </c>
      <c r="F6" s="51" t="n">
        <v>-0.2271137898025379</v>
      </c>
      <c r="G6" s="51" t="n">
        <v>0.5374417432789081</v>
      </c>
      <c r="H6" s="14" t="inlineStr"/>
    </row>
    <row r="7">
      <c r="A7" s="20" t="n">
        <v>485</v>
      </c>
      <c r="B7" s="35" t="n">
        <v>21.8</v>
      </c>
      <c r="C7" s="28" t="n">
        <v>0.2556129990227359</v>
      </c>
      <c r="D7" s="51" t="n">
        <v>0.6350435163821126</v>
      </c>
      <c r="E7" s="51" t="n">
        <v>0.00971466927875354</v>
      </c>
      <c r="F7" s="51" t="n">
        <v>-0.2367594843339001</v>
      </c>
      <c r="G7" s="51" t="n">
        <v>0.5676870838494907</v>
      </c>
      <c r="H7" s="14" t="inlineStr"/>
    </row>
    <row r="8">
      <c r="A8" s="20" t="n">
        <v>490</v>
      </c>
      <c r="B8" s="35" t="n">
        <v>19</v>
      </c>
      <c r="C8" s="28" t="n">
        <v>0.2571575308136704</v>
      </c>
      <c r="D8" s="51" t="n">
        <v>0.5843683458427993</v>
      </c>
      <c r="E8" s="51" t="n">
        <v>0.01002103562308147</v>
      </c>
      <c r="F8" s="51" t="n">
        <v>-0.2444003309582358</v>
      </c>
      <c r="G8" s="51" t="n">
        <v>0.5891283334666939</v>
      </c>
      <c r="H8" s="14" t="inlineStr"/>
    </row>
    <row r="9">
      <c r="A9" s="20" t="n">
        <v>495</v>
      </c>
      <c r="B9" s="35" t="n">
        <v>15.95</v>
      </c>
      <c r="C9" s="28" t="n">
        <v>0.2501978688380732</v>
      </c>
      <c r="D9" s="51" t="n">
        <v>0.5334873775660531</v>
      </c>
      <c r="E9" s="51" t="n">
        <v>0.01050062112977159</v>
      </c>
      <c r="F9" s="51" t="n">
        <v>-0.2408573021523001</v>
      </c>
      <c r="G9" s="51" t="n">
        <v>0.6006156611002598</v>
      </c>
      <c r="H9" s="14" t="inlineStr">
        <is>
          <t>Closest to the money. Gamma and vega peak here.</t>
        </is>
      </c>
    </row>
    <row r="10">
      <c r="A10" s="20" t="n">
        <v>500</v>
      </c>
      <c r="B10" s="35" t="n">
        <v>13.7</v>
      </c>
      <c r="C10" s="28" t="n">
        <v>0.2523168170326746</v>
      </c>
      <c r="D10" s="51" t="n">
        <v>0.4814764297513548</v>
      </c>
      <c r="E10" s="51" t="n">
        <v>0.01043920595735544</v>
      </c>
      <c r="F10" s="51" t="n">
        <v>-0.2414352411558767</v>
      </c>
      <c r="G10" s="51" t="n">
        <v>0.6021597468618074</v>
      </c>
      <c r="H10" s="14" t="inlineStr">
        <is>
          <t>The strike the dashboard ships with.</t>
        </is>
      </c>
    </row>
    <row r="11">
      <c r="A11" s="20" t="n">
        <v>505</v>
      </c>
      <c r="B11" s="35" t="n">
        <v>11.3</v>
      </c>
      <c r="C11" s="28" t="n">
        <v>0.2476219276934591</v>
      </c>
      <c r="D11" s="51" t="n">
        <v>0.4284424090211858</v>
      </c>
      <c r="E11" s="51" t="n">
        <v>0.01047785512615756</v>
      </c>
      <c r="F11" s="51" t="n">
        <v>-0.2321018161532083</v>
      </c>
      <c r="G11" s="51" t="n">
        <v>0.5931431873121334</v>
      </c>
      <c r="H11" s="14" t="inlineStr"/>
    </row>
    <row r="12">
      <c r="A12" s="20" t="n">
        <v>510</v>
      </c>
      <c r="B12" s="35" t="n">
        <v>9.449999999999999</v>
      </c>
      <c r="C12" s="28" t="n">
        <v>0.2478923569441705</v>
      </c>
      <c r="D12" s="51" t="n">
        <v>0.3781976485023649</v>
      </c>
      <c r="E12" s="51" t="n">
        <v>0.01013903083033005</v>
      </c>
      <c r="F12" s="51" t="n">
        <v>-0.2237380083709785</v>
      </c>
      <c r="G12" s="51" t="n">
        <v>0.5745894364905906</v>
      </c>
      <c r="H12" s="14" t="inlineStr"/>
    </row>
    <row r="13">
      <c r="A13" s="20" t="n">
        <v>515</v>
      </c>
      <c r="B13" s="35" t="n">
        <v>7.95</v>
      </c>
      <c r="C13" s="28" t="n">
        <v>0.2502116411592095</v>
      </c>
      <c r="D13" s="51" t="n">
        <v>0.3320190237379411</v>
      </c>
      <c r="E13" s="51" t="n">
        <v>0.009592006195668122</v>
      </c>
      <c r="F13" s="51" t="n">
        <v>-0.214454586764357</v>
      </c>
      <c r="G13" s="51" t="n">
        <v>0.5486748065349001</v>
      </c>
      <c r="H13" s="14" t="inlineStr"/>
    </row>
    <row r="14">
      <c r="A14" s="20" t="n">
        <v>520</v>
      </c>
      <c r="B14" s="35" t="n">
        <v>6.35</v>
      </c>
      <c r="C14" s="28" t="n">
        <v>0.2465458575444789</v>
      </c>
      <c r="D14" s="51" t="n">
        <v>0.2842469281420681</v>
      </c>
      <c r="E14" s="51" t="n">
        <v>0.009092658595658346</v>
      </c>
      <c r="F14" s="51" t="n">
        <v>-0.1966161457203367</v>
      </c>
      <c r="G14" s="51" t="n">
        <v>0.5124914824242617</v>
      </c>
      <c r="H14" s="14" t="inlineStr"/>
    </row>
    <row r="15">
      <c r="A15" s="20" t="n">
        <v>525</v>
      </c>
      <c r="B15" s="35" t="n">
        <v>5.1</v>
      </c>
      <c r="C15" s="28" t="n">
        <v>0.2453387801494326</v>
      </c>
      <c r="D15" s="51" t="n">
        <v>0.2415894396335466</v>
      </c>
      <c r="E15" s="51" t="n">
        <v>0.008408003597532474</v>
      </c>
      <c r="F15" s="51" t="n">
        <v>-0.1793553556573466</v>
      </c>
      <c r="G15" s="51" t="n">
        <v>0.471581921308626</v>
      </c>
      <c r="H15" s="14" t="inlineStr"/>
    </row>
    <row r="16">
      <c r="A16" s="20" t="n">
        <v>530</v>
      </c>
      <c r="B16" s="35" t="n">
        <v>4.15</v>
      </c>
      <c r="C16" s="28" t="n">
        <v>0.2465298348458845</v>
      </c>
      <c r="D16" s="51" t="n">
        <v>0.2051427041357639</v>
      </c>
      <c r="E16" s="51" t="n">
        <v>0.007623451106852164</v>
      </c>
      <c r="F16" s="51" t="n">
        <v>-0.1636092690905835</v>
      </c>
      <c r="G16" s="51" t="n">
        <v>0.4296542985677072</v>
      </c>
      <c r="H16" s="14" t="inlineStr"/>
    </row>
    <row r="18" ht="22" customHeight="1">
      <c r="A18" s="3" t="inlineStr">
        <is>
          <t>Put Greeks by strike</t>
        </is>
      </c>
    </row>
    <row r="19" ht="30" customHeight="1">
      <c r="A19" s="7" t="inlineStr">
        <is>
          <t>Strike</t>
        </is>
      </c>
      <c r="B19" s="7" t="inlineStr">
        <is>
          <t>Ask</t>
        </is>
      </c>
      <c r="C19" s="7" t="inlineStr">
        <is>
          <t>Implied vol</t>
        </is>
      </c>
      <c r="D19" s="7" t="inlineStr">
        <is>
          <t>Delta</t>
        </is>
      </c>
      <c r="E19" s="7" t="inlineStr">
        <is>
          <t>Gamma</t>
        </is>
      </c>
      <c r="F19" s="7" t="inlineStr">
        <is>
          <t>Theta</t>
        </is>
      </c>
      <c r="G19" s="7" t="inlineStr">
        <is>
          <t>Vega</t>
        </is>
      </c>
      <c r="H19" s="7" t="inlineStr">
        <is>
          <t>Reading</t>
        </is>
      </c>
    </row>
    <row r="20">
      <c r="A20" s="20" t="n">
        <v>470</v>
      </c>
      <c r="B20" s="35" t="n">
        <v>5.9</v>
      </c>
      <c r="C20" s="28" t="n">
        <v>0.2691827183537261</v>
      </c>
      <c r="D20" s="51" t="n">
        <v>-0.2370313921920479</v>
      </c>
      <c r="E20" s="51" t="n">
        <v>0.007583940932733804</v>
      </c>
      <c r="F20" s="51" t="n">
        <v>-0.1746046119719153</v>
      </c>
      <c r="G20" s="51" t="n">
        <v>0.466702549652785</v>
      </c>
      <c r="H20" s="14" t="inlineStr"/>
    </row>
    <row r="21">
      <c r="A21" s="20" t="n">
        <v>475</v>
      </c>
      <c r="B21" s="35" t="n">
        <v>7.25</v>
      </c>
      <c r="C21" s="28" t="n">
        <v>0.267808620815614</v>
      </c>
      <c r="D21" s="51" t="n">
        <v>-0.2776926003507845</v>
      </c>
      <c r="E21" s="51" t="n">
        <v>0.008276957829302229</v>
      </c>
      <c r="F21" s="51" t="n">
        <v>-0.1876593196049427</v>
      </c>
      <c r="G21" s="51" t="n">
        <v>0.5067495276035143</v>
      </c>
      <c r="H21" s="14" t="inlineStr"/>
    </row>
    <row r="22">
      <c r="A22" s="20" t="n">
        <v>480</v>
      </c>
      <c r="B22" s="35" t="n">
        <v>8.699999999999999</v>
      </c>
      <c r="C22" s="28" t="n">
        <v>0.2643199966886168</v>
      </c>
      <c r="D22" s="51" t="n">
        <v>-0.3203720252230092</v>
      </c>
      <c r="E22" s="51" t="n">
        <v>0.008948923706906982</v>
      </c>
      <c r="F22" s="51" t="n">
        <v>-0.1964112868067184</v>
      </c>
      <c r="G22" s="51" t="n">
        <v>0.5407529319486991</v>
      </c>
      <c r="H22" s="14" t="inlineStr">
        <is>
          <t>The cash-secured put strike.</t>
        </is>
      </c>
    </row>
    <row r="23">
      <c r="A23" s="20" t="n">
        <v>485</v>
      </c>
      <c r="B23" s="35" t="n">
        <v>10.7</v>
      </c>
      <c r="C23" s="28" t="n">
        <v>0.2666998642991822</v>
      </c>
      <c r="D23" s="51" t="n">
        <v>-0.3684470282315654</v>
      </c>
      <c r="E23" s="51" t="n">
        <v>0.009346074432116519</v>
      </c>
      <c r="F23" s="51" t="n">
        <v>-0.2075719150565947</v>
      </c>
      <c r="G23" s="51" t="n">
        <v>0.5698362682354885</v>
      </c>
      <c r="H23" s="14" t="inlineStr"/>
    </row>
    <row r="24">
      <c r="A24" s="20" t="n">
        <v>490</v>
      </c>
      <c r="B24" s="35" t="n">
        <v>12.55</v>
      </c>
      <c r="C24" s="28" t="n">
        <v>0.2622109228484756</v>
      </c>
      <c r="D24" s="51" t="n">
        <v>-0.4159647337910609</v>
      </c>
      <c r="E24" s="51" t="n">
        <v>0.009833344311693672</v>
      </c>
      <c r="F24" s="51" t="n">
        <v>-0.2092740577715485</v>
      </c>
      <c r="G24" s="51" t="n">
        <v>0.5894542213490322</v>
      </c>
      <c r="H24" s="14" t="inlineStr"/>
    </row>
    <row r="25">
      <c r="A25" s="20" t="n">
        <v>495</v>
      </c>
      <c r="B25" s="35" t="n">
        <v>14.75</v>
      </c>
      <c r="C25" s="28" t="n">
        <v>0.2596044735662545</v>
      </c>
      <c r="D25" s="51" t="n">
        <v>-0.4659358372258621</v>
      </c>
      <c r="E25" s="51" t="n">
        <v>0.01012036027640644</v>
      </c>
      <c r="F25" s="51" t="n">
        <v>-0.2090456663901062</v>
      </c>
      <c r="G25" s="51" t="n">
        <v>0.6006288688348299</v>
      </c>
      <c r="H25" s="14" t="inlineStr"/>
    </row>
    <row r="26">
      <c r="A26" s="20" t="n">
        <v>500</v>
      </c>
      <c r="B26" s="35" t="n">
        <v>17.4</v>
      </c>
      <c r="C26" s="28" t="n">
        <v>0.2603235029320971</v>
      </c>
      <c r="D26" s="51" t="n">
        <v>-0.5163265435016766</v>
      </c>
      <c r="E26" s="51" t="n">
        <v>0.01011981604067448</v>
      </c>
      <c r="F26" s="51" t="n">
        <v>-0.2080075896013764</v>
      </c>
      <c r="G26" s="51" t="n">
        <v>0.6022600481484054</v>
      </c>
      <c r="H26" s="14" t="inlineStr"/>
    </row>
    <row r="27">
      <c r="A27" s="20" t="n">
        <v>505</v>
      </c>
      <c r="B27" s="35" t="n">
        <v>20.6</v>
      </c>
      <c r="C27" s="28" t="n">
        <v>0.2661269962417172</v>
      </c>
      <c r="D27" s="51" t="n">
        <v>-0.5638291790117674</v>
      </c>
      <c r="E27" s="51" t="n">
        <v>0.009779169074889453</v>
      </c>
      <c r="F27" s="51" t="n">
        <v>-0.2080542198326249</v>
      </c>
      <c r="G27" s="51" t="n">
        <v>0.5949616104857763</v>
      </c>
      <c r="H27" s="14" t="inlineStr"/>
    </row>
    <row r="28">
      <c r="A28" s="20" t="n">
        <v>510</v>
      </c>
      <c r="B28" s="35" t="n">
        <v>23.7</v>
      </c>
      <c r="C28" s="28" t="n">
        <v>0.2663777147646537</v>
      </c>
      <c r="D28" s="51" t="n">
        <v>-0.6108482943746852</v>
      </c>
      <c r="E28" s="51" t="n">
        <v>0.009510953806232417</v>
      </c>
      <c r="F28" s="51" t="n">
        <v>-0.1998873518883759</v>
      </c>
      <c r="G28" s="51" t="n">
        <v>0.5791886174383376</v>
      </c>
      <c r="H28" s="14" t="inlineStr"/>
    </row>
    <row r="30" ht="22" customHeight="1">
      <c r="A30" s="3" t="inlineStr">
        <is>
          <t>What each Greek pays for</t>
        </is>
      </c>
    </row>
    <row r="31" ht="30" customHeight="1">
      <c r="A31" s="5" t="inlineStr">
        <is>
          <t>Delta</t>
        </is>
      </c>
      <c r="B31" s="6" t="inlineStr">
        <is>
          <t>How much the contract moves for a $1 move in the stock. It doubles as a rough share-equivalent exposure.</t>
        </is>
      </c>
    </row>
    <row r="32" ht="30" customHeight="1">
      <c r="A32" s="5" t="inlineStr">
        <is>
          <t>Gamma</t>
        </is>
      </c>
      <c r="B32" s="6" t="inlineStr">
        <is>
          <t>How fast delta changes. It is largest at the money and it is what makes a near-the-money position feel unstable.</t>
        </is>
      </c>
    </row>
    <row r="33" ht="30" customHeight="1">
      <c r="A33" s="5" t="inlineStr">
        <is>
          <t>Theta</t>
        </is>
      </c>
      <c r="B33" s="6" t="inlineStr">
        <is>
          <t>Dollars per day the contract loses to time. Buyers pay it and sellers collect it.</t>
        </is>
      </c>
    </row>
    <row r="34" ht="30" customHeight="1">
      <c r="A34" s="5" t="inlineStr">
        <is>
          <t>Vega</t>
        </is>
      </c>
      <c r="B34" s="6" t="inlineStr">
        <is>
          <t>Dollars per one point of implied volatility. It is why a correct direction call can still lose after an event passes.</t>
        </is>
      </c>
    </row>
    <row r="35" ht="30" customHeight="1">
      <c r="A35" s="5" t="inlineStr">
        <is>
          <t>Rho</t>
        </is>
      </c>
      <c r="B35" s="6" t="inlineStr">
        <is>
          <t>Dollars per one point of interest rate. On a 34-day contract it is the smallest of the five.</t>
        </is>
      </c>
    </row>
    <row r="37" ht="22" customHeight="1">
      <c r="A37" s="3" t="inlineStr">
        <is>
          <t>MarketXLS Functions Used in This Sheet</t>
        </is>
      </c>
    </row>
    <row r="38">
      <c r="A38" s="8">
        <f>opt_Delta(spot,price,expiry,"Call",strike)</f>
        <v/>
      </c>
      <c r="B38" s="9" t="inlineStr">
        <is>
          <t>Delta</t>
        </is>
      </c>
    </row>
    <row r="39">
      <c r="A39" s="8">
        <f>opt_Gamma(spot,price,expiry,"Call",strike)</f>
        <v/>
      </c>
      <c r="B39" s="9" t="inlineStr">
        <is>
          <t>Gamma</t>
        </is>
      </c>
    </row>
    <row r="40">
      <c r="A40" s="8">
        <f>opt_Theta(spot,price,expiry,"Call",strike)</f>
        <v/>
      </c>
      <c r="B40" s="9" t="inlineStr">
        <is>
          <t>Theta</t>
        </is>
      </c>
    </row>
    <row r="41">
      <c r="A41" s="8">
        <f>opt_Vega(spot,price,expiry,"Call",strike)</f>
        <v/>
      </c>
      <c r="B41" s="9" t="inlineStr">
        <is>
          <t>Vega</t>
        </is>
      </c>
    </row>
    <row r="42">
      <c r="A42" s="8">
        <f>opt_Rho(spot,price,expiry,"Call",strike)</f>
        <v/>
      </c>
      <c r="B42" s="9" t="inlineStr">
        <is>
          <t>Rho</t>
        </is>
      </c>
    </row>
    <row r="43">
      <c r="A43" s="8">
        <f>opt_ImpliedVolatility(spot,price,expiry,"Call",strike)</f>
        <v/>
      </c>
      <c r="B43" s="9" t="inlineStr">
        <is>
          <t>Implied volatility from a traded price</t>
        </is>
      </c>
    </row>
    <row r="44">
      <c r="A44" s="8">
        <f>Strikes("MSFT")</f>
        <v/>
      </c>
      <c r="B44" s="9" t="inlineStr">
        <is>
          <t>Available strikes for the underlying</t>
        </is>
      </c>
    </row>
    <row r="46" ht="20" customHeight="1">
      <c r="A46" s="10" t="inlineStr">
        <is>
          <t>Powered by MarketXLS   |   https://marketxls.com   |   Book a demo: https://marketxls.com/book-demo   |   https://optionxls.com</t>
        </is>
      </c>
    </row>
  </sheetData>
  <mergeCells count="19">
    <mergeCell ref="A30:H30"/>
    <mergeCell ref="B40:H40"/>
    <mergeCell ref="B33:H33"/>
    <mergeCell ref="A1:H1"/>
    <mergeCell ref="B32:H32"/>
    <mergeCell ref="B41:H41"/>
    <mergeCell ref="B35:H35"/>
    <mergeCell ref="A46:H46"/>
    <mergeCell ref="A37:H37"/>
    <mergeCell ref="B31:H31"/>
    <mergeCell ref="A18:H18"/>
    <mergeCell ref="A2:H2"/>
    <mergeCell ref="B43:H43"/>
    <mergeCell ref="B39:H39"/>
    <mergeCell ref="B42:H42"/>
    <mergeCell ref="A4:H4"/>
    <mergeCell ref="B44:H44"/>
    <mergeCell ref="B38:H38"/>
    <mergeCell ref="B34:H34"/>
  </mergeCells>
  <conditionalFormatting sqref="D6:D16">
    <cfRule type="colorScale" priority="1">
      <colorScale>
        <cfvo type="min"/>
        <cfvo type="max"/>
        <color rgb="00FDEDEC"/>
        <color rgb="00E8F6EF"/>
      </colorScale>
    </cfRule>
  </conditionalFormatting>
  <pageMargins left="0.75" right="0.75" top="1" bottom="1" header="0.5" footer="0.5"/>
</worksheet>
</file>

<file path=xl/worksheets/sheet8.xml><?xml version="1.0" encoding="utf-8"?>
<worksheet xmlns="http://schemas.openxmlformats.org/spreadsheetml/2006/main">
  <sheetPr>
    <tabColor rgb="000066CC"/>
    <outlinePr summaryBelow="1" summaryRight="1"/>
    <pageSetUpPr/>
  </sheetPr>
  <dimension ref="A1:H53"/>
  <sheetViews>
    <sheetView workbookViewId="0">
      <pane ySplit="5" topLeftCell="A6" activePane="bottomLeft" state="frozen"/>
      <selection pane="bottomLeft" activeCell="A1" sqref="A1"/>
    </sheetView>
  </sheetViews>
  <sheetFormatPr baseColWidth="8" defaultRowHeight="15"/>
  <cols>
    <col width="12" customWidth="1" min="1" max="1"/>
    <col width="11" customWidth="1" min="2" max="2"/>
    <col width="11" customWidth="1" min="3" max="3"/>
    <col width="11" customWidth="1" min="4" max="4"/>
    <col width="14" customWidth="1" min="5" max="5"/>
    <col width="12" customWidth="1" min="6" max="6"/>
    <col width="13" customWidth="1" min="7" max="7"/>
    <col width="34" customWidth="1" min="8" max="8"/>
  </cols>
  <sheetData>
    <row r="1" ht="30" customHeight="1">
      <c r="A1" s="1" t="inlineStr">
        <is>
          <t>Strike Ladder   |   live quotes around the money</t>
        </is>
      </c>
    </row>
    <row r="2" ht="20" customHeight="1">
      <c r="A2" s="2" t="inlineStr">
        <is>
          <t>MSFT 2026-09-18 chain</t>
        </is>
      </c>
    </row>
    <row r="4" ht="22" customHeight="1">
      <c r="A4" s="3" t="inlineStr">
        <is>
          <t>Calls, 2026-09-18</t>
        </is>
      </c>
    </row>
    <row r="5" ht="30" customHeight="1">
      <c r="A5" s="7" t="inlineStr">
        <is>
          <t>Strike</t>
        </is>
      </c>
      <c r="B5" s="7" t="inlineStr">
        <is>
          <t>Bid</t>
        </is>
      </c>
      <c r="C5" s="7" t="inlineStr">
        <is>
          <t>Ask</t>
        </is>
      </c>
      <c r="D5" s="7" t="inlineStr">
        <is>
          <t>Spread</t>
        </is>
      </c>
      <c r="E5" s="7" t="inlineStr">
        <is>
          <t>Open interest</t>
        </is>
      </c>
      <c r="F5" s="7" t="inlineStr">
        <is>
          <t>Volume</t>
        </is>
      </c>
      <c r="G5" s="7" t="inlineStr">
        <is>
          <t>Implied vol</t>
        </is>
      </c>
      <c r="H5" s="7" t="inlineStr">
        <is>
          <t>Note</t>
        </is>
      </c>
    </row>
    <row r="6">
      <c r="A6" s="20" t="n">
        <v>480</v>
      </c>
      <c r="B6" s="35">
        <f>Option_Bid("MSFT260918C00480000")</f>
        <v/>
      </c>
      <c r="C6" s="35">
        <f>Option_Ask("MSFT260918C00480000")</f>
        <v/>
      </c>
      <c r="D6" s="35">
        <f>C6-B6</f>
        <v/>
      </c>
      <c r="E6" s="27">
        <f>Option_OpenInterest("MSFT260918C00480000")</f>
        <v/>
      </c>
      <c r="F6" s="27">
        <f>Option_Volume("MSFT260918C00480000")</f>
        <v/>
      </c>
      <c r="G6" s="28">
        <f>opt_ImpliedVolatility('Main Dashboard'!$B$7,C6,'Main Dashboard'!$B$9,"Call",A6)</f>
        <v/>
      </c>
      <c r="H6" s="14" t="inlineStr"/>
    </row>
    <row r="7">
      <c r="A7" s="20" t="n">
        <v>485</v>
      </c>
      <c r="B7" s="35">
        <f>Option_Bid("MSFT260918C00485000")</f>
        <v/>
      </c>
      <c r="C7" s="35">
        <f>Option_Ask("MSFT260918C00485000")</f>
        <v/>
      </c>
      <c r="D7" s="35">
        <f>C7-B7</f>
        <v/>
      </c>
      <c r="E7" s="27">
        <f>Option_OpenInterest("MSFT260918C00485000")</f>
        <v/>
      </c>
      <c r="F7" s="27">
        <f>Option_Volume("MSFT260918C00485000")</f>
        <v/>
      </c>
      <c r="G7" s="28">
        <f>opt_ImpliedVolatility('Main Dashboard'!$B$7,C7,'Main Dashboard'!$B$9,"Call",A7)</f>
        <v/>
      </c>
      <c r="H7" s="14" t="inlineStr"/>
    </row>
    <row r="8">
      <c r="A8" s="20" t="n">
        <v>490</v>
      </c>
      <c r="B8" s="35">
        <f>Option_Bid("MSFT260918C00490000")</f>
        <v/>
      </c>
      <c r="C8" s="35">
        <f>Option_Ask("MSFT260918C00490000")</f>
        <v/>
      </c>
      <c r="D8" s="35">
        <f>C8-B8</f>
        <v/>
      </c>
      <c r="E8" s="27">
        <f>Option_OpenInterest("MSFT260918C00490000")</f>
        <v/>
      </c>
      <c r="F8" s="27">
        <f>Option_Volume("MSFT260918C00490000")</f>
        <v/>
      </c>
      <c r="G8" s="28">
        <f>opt_ImpliedVolatility('Main Dashboard'!$B$7,C8,'Main Dashboard'!$B$9,"Call",A8)</f>
        <v/>
      </c>
      <c r="H8" s="14" t="inlineStr"/>
    </row>
    <row r="9">
      <c r="A9" s="20" t="n">
        <v>495</v>
      </c>
      <c r="B9" s="35">
        <f>Option_Bid("MSFT260918C00495000")</f>
        <v/>
      </c>
      <c r="C9" s="35">
        <f>Option_Ask("MSFT260918C00495000")</f>
        <v/>
      </c>
      <c r="D9" s="35">
        <f>C9-B9</f>
        <v/>
      </c>
      <c r="E9" s="27">
        <f>Option_OpenInterest("MSFT260918C00495000")</f>
        <v/>
      </c>
      <c r="F9" s="27">
        <f>Option_Volume("MSFT260918C00495000")</f>
        <v/>
      </c>
      <c r="G9" s="28">
        <f>opt_ImpliedVolatility('Main Dashboard'!$B$7,C9,'Main Dashboard'!$B$9,"Call",A9)</f>
        <v/>
      </c>
      <c r="H9" s="14" t="inlineStr">
        <is>
          <t>Nearest to the money.</t>
        </is>
      </c>
    </row>
    <row r="10">
      <c r="A10" s="20" t="n">
        <v>500</v>
      </c>
      <c r="B10" s="35">
        <f>Option_Bid("MSFT260918C00500000")</f>
        <v/>
      </c>
      <c r="C10" s="35">
        <f>Option_Ask("MSFT260918C00500000")</f>
        <v/>
      </c>
      <c r="D10" s="35">
        <f>C10-B10</f>
        <v/>
      </c>
      <c r="E10" s="27">
        <f>Option_OpenInterest("MSFT260918C00500000")</f>
        <v/>
      </c>
      <c r="F10" s="27">
        <f>Option_Volume("MSFT260918C00500000")</f>
        <v/>
      </c>
      <c r="G10" s="28">
        <f>opt_ImpliedVolatility('Main Dashboard'!$B$7,C10,'Main Dashboard'!$B$9,"Call",A10)</f>
        <v/>
      </c>
      <c r="H10" s="14" t="inlineStr">
        <is>
          <t>Long call strike used in this workbook.</t>
        </is>
      </c>
    </row>
    <row r="11">
      <c r="A11" s="20" t="n">
        <v>505</v>
      </c>
      <c r="B11" s="35">
        <f>Option_Bid("MSFT260918C00505000")</f>
        <v/>
      </c>
      <c r="C11" s="35">
        <f>Option_Ask("MSFT260918C00505000")</f>
        <v/>
      </c>
      <c r="D11" s="35">
        <f>C11-B11</f>
        <v/>
      </c>
      <c r="E11" s="27">
        <f>Option_OpenInterest("MSFT260918C00505000")</f>
        <v/>
      </c>
      <c r="F11" s="27">
        <f>Option_Volume("MSFT260918C00505000")</f>
        <v/>
      </c>
      <c r="G11" s="28">
        <f>opt_ImpliedVolatility('Main Dashboard'!$B$7,C11,'Main Dashboard'!$B$9,"Call",A11)</f>
        <v/>
      </c>
      <c r="H11" s="14" t="inlineStr"/>
    </row>
    <row r="12">
      <c r="A12" s="20" t="n">
        <v>510</v>
      </c>
      <c r="B12" s="35">
        <f>Option_Bid("MSFT260918C00510000")</f>
        <v/>
      </c>
      <c r="C12" s="35">
        <f>Option_Ask("MSFT260918C00510000")</f>
        <v/>
      </c>
      <c r="D12" s="35">
        <f>C12-B12</f>
        <v/>
      </c>
      <c r="E12" s="27">
        <f>Option_OpenInterest("MSFT260918C00510000")</f>
        <v/>
      </c>
      <c r="F12" s="27">
        <f>Option_Volume("MSFT260918C00510000")</f>
        <v/>
      </c>
      <c r="G12" s="28">
        <f>opt_ImpliedVolatility('Main Dashboard'!$B$7,C12,'Main Dashboard'!$B$9,"Call",A12)</f>
        <v/>
      </c>
      <c r="H12" s="14" t="inlineStr"/>
    </row>
    <row r="13">
      <c r="A13" s="20" t="n">
        <v>515</v>
      </c>
      <c r="B13" s="35">
        <f>Option_Bid("MSFT260918C00515000")</f>
        <v/>
      </c>
      <c r="C13" s="35">
        <f>Option_Ask("MSFT260918C00515000")</f>
        <v/>
      </c>
      <c r="D13" s="35">
        <f>C13-B13</f>
        <v/>
      </c>
      <c r="E13" s="27">
        <f>Option_OpenInterest("MSFT260918C00515000")</f>
        <v/>
      </c>
      <c r="F13" s="27">
        <f>Option_Volume("MSFT260918C00515000")</f>
        <v/>
      </c>
      <c r="G13" s="28">
        <f>opt_ImpliedVolatility('Main Dashboard'!$B$7,C13,'Main Dashboard'!$B$9,"Call",A13)</f>
        <v/>
      </c>
      <c r="H13" s="14" t="inlineStr"/>
    </row>
    <row r="14">
      <c r="A14" s="20" t="n">
        <v>520</v>
      </c>
      <c r="B14" s="35">
        <f>Option_Bid("MSFT260918C00520000")</f>
        <v/>
      </c>
      <c r="C14" s="35">
        <f>Option_Ask("MSFT260918C00520000")</f>
        <v/>
      </c>
      <c r="D14" s="35">
        <f>C14-B14</f>
        <v/>
      </c>
      <c r="E14" s="27">
        <f>Option_OpenInterest("MSFT260918C00520000")</f>
        <v/>
      </c>
      <c r="F14" s="27">
        <f>Option_Volume("MSFT260918C00520000")</f>
        <v/>
      </c>
      <c r="G14" s="28">
        <f>opt_ImpliedVolatility('Main Dashboard'!$B$7,C14,'Main Dashboard'!$B$9,"Call",A14)</f>
        <v/>
      </c>
      <c r="H14" s="14" t="inlineStr">
        <is>
          <t>Covered call strike used in this workbook.</t>
        </is>
      </c>
    </row>
    <row r="15">
      <c r="A15" s="20" t="n">
        <v>525</v>
      </c>
      <c r="B15" s="35">
        <f>Option_Bid("MSFT260918C00525000")</f>
        <v/>
      </c>
      <c r="C15" s="35">
        <f>Option_Ask("MSFT260918C00525000")</f>
        <v/>
      </c>
      <c r="D15" s="35">
        <f>C15-B15</f>
        <v/>
      </c>
      <c r="E15" s="27">
        <f>Option_OpenInterest("MSFT260918C00525000")</f>
        <v/>
      </c>
      <c r="F15" s="27">
        <f>Option_Volume("MSFT260918C00525000")</f>
        <v/>
      </c>
      <c r="G15" s="28">
        <f>opt_ImpliedVolatility('Main Dashboard'!$B$7,C15,'Main Dashboard'!$B$9,"Call",A15)</f>
        <v/>
      </c>
      <c r="H15" s="14" t="inlineStr"/>
    </row>
    <row r="16">
      <c r="A16" s="20" t="n">
        <v>530</v>
      </c>
      <c r="B16" s="35">
        <f>Option_Bid("MSFT260918C00530000")</f>
        <v/>
      </c>
      <c r="C16" s="35">
        <f>Option_Ask("MSFT260918C00530000")</f>
        <v/>
      </c>
      <c r="D16" s="35">
        <f>C16-B16</f>
        <v/>
      </c>
      <c r="E16" s="27">
        <f>Option_OpenInterest("MSFT260918C00530000")</f>
        <v/>
      </c>
      <c r="F16" s="27">
        <f>Option_Volume("MSFT260918C00530000")</f>
        <v/>
      </c>
      <c r="G16" s="28">
        <f>opt_ImpliedVolatility('Main Dashboard'!$B$7,C16,'Main Dashboard'!$B$9,"Call",A16)</f>
        <v/>
      </c>
      <c r="H16" s="14" t="inlineStr"/>
    </row>
    <row r="18" ht="22" customHeight="1">
      <c r="A18" s="3" t="inlineStr">
        <is>
          <t>Puts, 2026-09-18</t>
        </is>
      </c>
    </row>
    <row r="19" ht="30" customHeight="1">
      <c r="A19" s="7" t="inlineStr">
        <is>
          <t>Strike</t>
        </is>
      </c>
      <c r="B19" s="7" t="inlineStr">
        <is>
          <t>Bid</t>
        </is>
      </c>
      <c r="C19" s="7" t="inlineStr">
        <is>
          <t>Ask</t>
        </is>
      </c>
      <c r="D19" s="7" t="inlineStr">
        <is>
          <t>Spread</t>
        </is>
      </c>
      <c r="E19" s="7" t="inlineStr">
        <is>
          <t>Open interest</t>
        </is>
      </c>
      <c r="F19" s="7" t="inlineStr">
        <is>
          <t>Volume</t>
        </is>
      </c>
      <c r="G19" s="7" t="inlineStr">
        <is>
          <t>Implied vol</t>
        </is>
      </c>
      <c r="H19" s="7" t="inlineStr">
        <is>
          <t>Note</t>
        </is>
      </c>
    </row>
    <row r="20">
      <c r="A20" s="20" t="n">
        <v>470</v>
      </c>
      <c r="B20" s="35">
        <f>Option_Bid("MSFT260918P00470000")</f>
        <v/>
      </c>
      <c r="C20" s="35">
        <f>Option_Ask("MSFT260918P00470000")</f>
        <v/>
      </c>
      <c r="D20" s="35">
        <f>C20-B20</f>
        <v/>
      </c>
      <c r="E20" s="27">
        <f>Option_OpenInterest("MSFT260918P00470000")</f>
        <v/>
      </c>
      <c r="F20" s="27">
        <f>Option_Volume("MSFT260918P00470000")</f>
        <v/>
      </c>
      <c r="G20" s="28">
        <f>opt_ImpliedVolatility('Main Dashboard'!$B$7,C20,'Main Dashboard'!$B$9,"Put",A20)</f>
        <v/>
      </c>
      <c r="H20" s="14" t="inlineStr"/>
    </row>
    <row r="21">
      <c r="A21" s="20" t="n">
        <v>475</v>
      </c>
      <c r="B21" s="35">
        <f>Option_Bid("MSFT260918P00475000")</f>
        <v/>
      </c>
      <c r="C21" s="35">
        <f>Option_Ask("MSFT260918P00475000")</f>
        <v/>
      </c>
      <c r="D21" s="35">
        <f>C21-B21</f>
        <v/>
      </c>
      <c r="E21" s="27">
        <f>Option_OpenInterest("MSFT260918P00475000")</f>
        <v/>
      </c>
      <c r="F21" s="27">
        <f>Option_Volume("MSFT260918P00475000")</f>
        <v/>
      </c>
      <c r="G21" s="28">
        <f>opt_ImpliedVolatility('Main Dashboard'!$B$7,C21,'Main Dashboard'!$B$9,"Put",A21)</f>
        <v/>
      </c>
      <c r="H21" s="14" t="inlineStr"/>
    </row>
    <row r="22">
      <c r="A22" s="20" t="n">
        <v>480</v>
      </c>
      <c r="B22" s="35">
        <f>Option_Bid("MSFT260918P00480000")</f>
        <v/>
      </c>
      <c r="C22" s="35">
        <f>Option_Ask("MSFT260918P00480000")</f>
        <v/>
      </c>
      <c r="D22" s="35">
        <f>C22-B22</f>
        <v/>
      </c>
      <c r="E22" s="27">
        <f>Option_OpenInterest("MSFT260918P00480000")</f>
        <v/>
      </c>
      <c r="F22" s="27">
        <f>Option_Volume("MSFT260918P00480000")</f>
        <v/>
      </c>
      <c r="G22" s="28">
        <f>opt_ImpliedVolatility('Main Dashboard'!$B$7,C22,'Main Dashboard'!$B$9,"Put",A22)</f>
        <v/>
      </c>
      <c r="H22" s="14" t="inlineStr">
        <is>
          <t>Cash-secured put strike used in this workbook.</t>
        </is>
      </c>
    </row>
    <row r="23">
      <c r="A23" s="20" t="n">
        <v>485</v>
      </c>
      <c r="B23" s="35">
        <f>Option_Bid("MSFT260918P00485000")</f>
        <v/>
      </c>
      <c r="C23" s="35">
        <f>Option_Ask("MSFT260918P00485000")</f>
        <v/>
      </c>
      <c r="D23" s="35">
        <f>C23-B23</f>
        <v/>
      </c>
      <c r="E23" s="27">
        <f>Option_OpenInterest("MSFT260918P00485000")</f>
        <v/>
      </c>
      <c r="F23" s="27">
        <f>Option_Volume("MSFT260918P00485000")</f>
        <v/>
      </c>
      <c r="G23" s="28">
        <f>opt_ImpliedVolatility('Main Dashboard'!$B$7,C23,'Main Dashboard'!$B$9,"Put",A23)</f>
        <v/>
      </c>
      <c r="H23" s="14" t="inlineStr"/>
    </row>
    <row r="24">
      <c r="A24" s="20" t="n">
        <v>490</v>
      </c>
      <c r="B24" s="35">
        <f>Option_Bid("MSFT260918P00490000")</f>
        <v/>
      </c>
      <c r="C24" s="35">
        <f>Option_Ask("MSFT260918P00490000")</f>
        <v/>
      </c>
      <c r="D24" s="35">
        <f>C24-B24</f>
        <v/>
      </c>
      <c r="E24" s="27">
        <f>Option_OpenInterest("MSFT260918P00490000")</f>
        <v/>
      </c>
      <c r="F24" s="27">
        <f>Option_Volume("MSFT260918P00490000")</f>
        <v/>
      </c>
      <c r="G24" s="28">
        <f>opt_ImpliedVolatility('Main Dashboard'!$B$7,C24,'Main Dashboard'!$B$9,"Put",A24)</f>
        <v/>
      </c>
      <c r="H24" s="14" t="inlineStr">
        <is>
          <t>Long put strike used in this workbook.</t>
        </is>
      </c>
    </row>
    <row r="25">
      <c r="A25" s="20" t="n">
        <v>495</v>
      </c>
      <c r="B25" s="35">
        <f>Option_Bid("MSFT260918P00495000")</f>
        <v/>
      </c>
      <c r="C25" s="35">
        <f>Option_Ask("MSFT260918P00495000")</f>
        <v/>
      </c>
      <c r="D25" s="35">
        <f>C25-B25</f>
        <v/>
      </c>
      <c r="E25" s="27">
        <f>Option_OpenInterest("MSFT260918P00495000")</f>
        <v/>
      </c>
      <c r="F25" s="27">
        <f>Option_Volume("MSFT260918P00495000")</f>
        <v/>
      </c>
      <c r="G25" s="28">
        <f>opt_ImpliedVolatility('Main Dashboard'!$B$7,C25,'Main Dashboard'!$B$9,"Put",A25)</f>
        <v/>
      </c>
      <c r="H25" s="14" t="inlineStr">
        <is>
          <t>Nearest to the money.</t>
        </is>
      </c>
    </row>
    <row r="26">
      <c r="A26" s="20" t="n">
        <v>500</v>
      </c>
      <c r="B26" s="35">
        <f>Option_Bid("MSFT260918P00500000")</f>
        <v/>
      </c>
      <c r="C26" s="35">
        <f>Option_Ask("MSFT260918P00500000")</f>
        <v/>
      </c>
      <c r="D26" s="35">
        <f>C26-B26</f>
        <v/>
      </c>
      <c r="E26" s="27">
        <f>Option_OpenInterest("MSFT260918P00500000")</f>
        <v/>
      </c>
      <c r="F26" s="27">
        <f>Option_Volume("MSFT260918P00500000")</f>
        <v/>
      </c>
      <c r="G26" s="28">
        <f>opt_ImpliedVolatility('Main Dashboard'!$B$7,C26,'Main Dashboard'!$B$9,"Put",A26)</f>
        <v/>
      </c>
      <c r="H26" s="14" t="inlineStr"/>
    </row>
    <row r="27">
      <c r="A27" s="20" t="n">
        <v>505</v>
      </c>
      <c r="B27" s="35">
        <f>Option_Bid("MSFT260918P00505000")</f>
        <v/>
      </c>
      <c r="C27" s="35">
        <f>Option_Ask("MSFT260918P00505000")</f>
        <v/>
      </c>
      <c r="D27" s="35">
        <f>C27-B27</f>
        <v/>
      </c>
      <c r="E27" s="27">
        <f>Option_OpenInterest("MSFT260918P00505000")</f>
        <v/>
      </c>
      <c r="F27" s="27">
        <f>Option_Volume("MSFT260918P00505000")</f>
        <v/>
      </c>
      <c r="G27" s="28">
        <f>opt_ImpliedVolatility('Main Dashboard'!$B$7,C27,'Main Dashboard'!$B$9,"Put",A27)</f>
        <v/>
      </c>
      <c r="H27" s="14" t="inlineStr"/>
    </row>
    <row r="28">
      <c r="A28" s="20" t="n">
        <v>510</v>
      </c>
      <c r="B28" s="35">
        <f>Option_Bid("MSFT260918P00510000")</f>
        <v/>
      </c>
      <c r="C28" s="35">
        <f>Option_Ask("MSFT260918P00510000")</f>
        <v/>
      </c>
      <c r="D28" s="35">
        <f>C28-B28</f>
        <v/>
      </c>
      <c r="E28" s="27">
        <f>Option_OpenInterest("MSFT260918P00510000")</f>
        <v/>
      </c>
      <c r="F28" s="27">
        <f>Option_Volume("MSFT260918P00510000")</f>
        <v/>
      </c>
      <c r="G28" s="28">
        <f>opt_ImpliedVolatility('Main Dashboard'!$B$7,C28,'Main Dashboard'!$B$9,"Put",A28)</f>
        <v/>
      </c>
      <c r="H28" s="14" t="inlineStr"/>
    </row>
    <row r="30" ht="22" customHeight="1">
      <c r="A30" s="3" t="inlineStr">
        <is>
          <t>Chain-level context</t>
        </is>
      </c>
    </row>
    <row r="31" ht="30" customHeight="1">
      <c r="A31" s="7" t="inlineStr">
        <is>
          <t>Measure</t>
        </is>
      </c>
      <c r="B31" s="7" t="inlineStr">
        <is>
          <t>Value</t>
        </is>
      </c>
      <c r="C31" s="7" t="inlineStr"/>
      <c r="D31" s="7" t="inlineStr"/>
      <c r="E31" s="7" t="inlineStr"/>
      <c r="F31" s="7" t="inlineStr"/>
      <c r="G31" s="7" t="inlineStr"/>
      <c r="H31" s="7" t="inlineStr">
        <is>
          <t>Note</t>
        </is>
      </c>
    </row>
    <row r="32">
      <c r="A32" s="5" t="inlineStr">
        <is>
          <t>Total call open interest</t>
        </is>
      </c>
      <c r="B32" s="17" t="n">
        <v>371794</v>
      </c>
      <c r="H32" s="14" t="inlineStr">
        <is>
          <t>Sum of the chain. Live: =opt_TotalVolumeOptions("MSFT")</t>
        </is>
      </c>
    </row>
    <row r="33">
      <c r="A33" s="5" t="inlineStr">
        <is>
          <t>Total put open interest</t>
        </is>
      </c>
      <c r="B33" s="17" t="n">
        <v>188999</v>
      </c>
      <c r="H33" s="14" t="inlineStr">
        <is>
          <t>Sum of the chain.</t>
        </is>
      </c>
    </row>
    <row r="34">
      <c r="A34" s="5" t="inlineStr">
        <is>
          <t>Put/call open interest ratio</t>
        </is>
      </c>
      <c r="B34" s="18" t="n">
        <v>0.5083433299084977</v>
      </c>
      <c r="H34" s="14" t="inlineStr">
        <is>
          <t>Live: =opt_PutCallOIRatio("MSFT")</t>
        </is>
      </c>
    </row>
    <row r="35">
      <c r="A35" s="5" t="inlineStr">
        <is>
          <t>Put/call volume ratio</t>
        </is>
      </c>
      <c r="B35" s="18" t="n">
        <v>1.829793720150391</v>
      </c>
      <c r="H35" s="14" t="inlineStr">
        <is>
          <t>Live: =opt_PutCallVolRatio("MSFT")</t>
        </is>
      </c>
    </row>
    <row r="36">
      <c r="A36" s="5" t="inlineStr">
        <is>
          <t>52-week high</t>
        </is>
      </c>
      <c r="B36" s="20" t="n">
        <v>553.72</v>
      </c>
      <c r="H36" s="14" t="inlineStr">
        <is>
          <t>Context for strike selection.</t>
        </is>
      </c>
    </row>
    <row r="37">
      <c r="A37" s="5" t="inlineStr">
        <is>
          <t>52-week low</t>
        </is>
      </c>
      <c r="B37" s="20" t="n">
        <v>349.2</v>
      </c>
      <c r="H37" s="14" t="inlineStr">
        <is>
          <t>Context for strike selection.</t>
        </is>
      </c>
    </row>
    <row r="38">
      <c r="A38" s="5" t="inlineStr">
        <is>
          <t>Next earnings date</t>
        </is>
      </c>
      <c r="B38" s="52" t="n">
        <v>46323</v>
      </c>
      <c r="H38" s="14" t="inlineStr">
        <is>
          <t>After this expiry, so no earnings event is priced into it.</t>
        </is>
      </c>
    </row>
    <row r="40" ht="22" customHeight="1">
      <c r="A40" s="3" t="inlineStr">
        <is>
          <t>MarketXLS Functions Used in This Sheet</t>
        </is>
      </c>
    </row>
    <row r="41">
      <c r="A41" s="8">
        <f>OptionSymbol("MSFT",DATE(2026,9,18),"Call",500)</f>
        <v/>
      </c>
      <c r="B41" s="9" t="inlineStr">
        <is>
          <t>Contract symbol</t>
        </is>
      </c>
    </row>
    <row r="42">
      <c r="A42" s="8">
        <f>Option_Bid(symbol)</f>
        <v/>
      </c>
      <c r="B42" s="9" t="inlineStr">
        <is>
          <t>Bid</t>
        </is>
      </c>
    </row>
    <row r="43">
      <c r="A43" s="8">
        <f>Option_Ask(symbol)</f>
        <v/>
      </c>
      <c r="B43" s="9" t="inlineStr">
        <is>
          <t>Ask</t>
        </is>
      </c>
    </row>
    <row r="44">
      <c r="A44" s="8">
        <f>Option_OpenInterest(symbol)</f>
        <v/>
      </c>
      <c r="B44" s="9" t="inlineStr">
        <is>
          <t>Open interest</t>
        </is>
      </c>
    </row>
    <row r="45">
      <c r="A45" s="8">
        <f>Option_Volume(symbol)</f>
        <v/>
      </c>
      <c r="B45" s="9" t="inlineStr">
        <is>
          <t>Volume</t>
        </is>
      </c>
    </row>
    <row r="46">
      <c r="A46" s="8">
        <f>Option_StrikePrice(symbol)</f>
        <v/>
      </c>
      <c r="B46" s="9" t="inlineStr">
        <is>
          <t>Strike</t>
        </is>
      </c>
    </row>
    <row r="47">
      <c r="A47" s="8">
        <f>Option_ExpirationDate(symbol)</f>
        <v/>
      </c>
      <c r="B47" s="9" t="inlineStr">
        <is>
          <t>Expiry</t>
        </is>
      </c>
    </row>
    <row r="48">
      <c r="A48" s="8">
        <f>Strikes("MSFT")</f>
        <v/>
      </c>
      <c r="B48" s="9" t="inlineStr">
        <is>
          <t>Available strikes</t>
        </is>
      </c>
    </row>
    <row r="49">
      <c r="A49" s="8">
        <f>ExpirationNext("MSFT",0)</f>
        <v/>
      </c>
      <c r="B49" s="9" t="inlineStr">
        <is>
          <t>Next expiry date</t>
        </is>
      </c>
    </row>
    <row r="50">
      <c r="A50" s="8">
        <f>opt_PutCallOIRatio("MSFT")</f>
        <v/>
      </c>
      <c r="B50" s="9" t="inlineStr">
        <is>
          <t>Put/call open interest ratio</t>
        </is>
      </c>
    </row>
    <row r="51">
      <c r="A51" s="8">
        <f>opt_PutCallVolRatio("MSFT")</f>
        <v/>
      </c>
      <c r="B51" s="9" t="inlineStr">
        <is>
          <t>Put/call volume ratio</t>
        </is>
      </c>
    </row>
    <row r="53" ht="20" customHeight="1">
      <c r="A53" s="10" t="inlineStr">
        <is>
          <t>Powered by MarketXLS   |   https://marketxls.com   |   Book a demo: https://marketxls.com/book-demo   |   https://optionxls.com</t>
        </is>
      </c>
    </row>
  </sheetData>
  <mergeCells count="18">
    <mergeCell ref="A18:H18"/>
    <mergeCell ref="A4:H4"/>
    <mergeCell ref="A30:H30"/>
    <mergeCell ref="B50:H50"/>
    <mergeCell ref="B42:H42"/>
    <mergeCell ref="B41:H41"/>
    <mergeCell ref="A53:H53"/>
    <mergeCell ref="B49:H49"/>
    <mergeCell ref="B44:H44"/>
    <mergeCell ref="A2:H2"/>
    <mergeCell ref="B43:H43"/>
    <mergeCell ref="B47:H47"/>
    <mergeCell ref="B48:H48"/>
    <mergeCell ref="B46:H46"/>
    <mergeCell ref="A1:H1"/>
    <mergeCell ref="B51:H51"/>
    <mergeCell ref="B45:H45"/>
    <mergeCell ref="A40:H40"/>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2026-08-15T17:36:52Z</dcterms:created>
  <dcterms:modified xsi:type="dcterms:W3CDTF">2026-08-15T17:36:52Z</dcterms:modified>
</cp:coreProperties>
</file>