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comment1.xml" ContentType="application/vnd.openxmlformats-officedocument.spreadsheetml.comments+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Put Calculator" sheetId="3" state="visible" r:id="rId3"/>
    <sheet name="Payoff Scenarios" sheetId="4" state="visible" r:id="rId4"/>
    <sheet name="Strike Ladder" sheetId="5" state="visible" r:id="rId5"/>
    <sheet name="Strategy Compare" sheetId="6" state="visible" r:id="rId6"/>
    <sheet name="Position Sizing" sheetId="7" state="visible" r:id="rId7"/>
    <sheet name="Volatility Compare" sheetId="8" state="visible" r:id="rId8"/>
  </sheets>
  <definedNames/>
  <calcPr calcId="124519" fullCalcOnLoad="1"/>
</workbook>
</file>

<file path=xl/styles.xml><?xml version="1.0" encoding="utf-8"?>
<styleSheet xmlns="http://schemas.openxmlformats.org/spreadsheetml/2006/main">
  <numFmts count="14">
    <numFmt numFmtId="164" formatCode="&quot;$&quot;#,##0.00"/>
    <numFmt numFmtId="165" formatCode="yyyy-mm-dd"/>
    <numFmt numFmtId="166" formatCode="0.0000"/>
    <numFmt numFmtId="167" formatCode="0.0%"/>
    <numFmt numFmtId="168" formatCode="&quot;$&quot;#,##0.00;[Red]-&quot;$&quot;#,##0.00"/>
    <numFmt numFmtId="169" formatCode="0.00000"/>
    <numFmt numFmtId="170" formatCode="+0%;-0%;0%"/>
    <numFmt numFmtId="171" formatCode="&quot;$&quot;#,##0;[Red]-&quot;$&quot;#,##0"/>
    <numFmt numFmtId="172" formatCode="+0%;[Red]-0%"/>
    <numFmt numFmtId="173" formatCode="&quot;$&quot;#,##0"/>
    <numFmt numFmtId="174" formatCode="+0.0%;-0.0%"/>
    <numFmt numFmtId="175" formatCode="0.000"/>
    <numFmt numFmtId="176" formatCode="&quot;$&quot;#,##0.000"/>
    <numFmt numFmtId="177" formatCode="+0.00%;-0.00%"/>
  </numFmts>
  <fonts count="24">
    <font>
      <name val="Calibri"/>
      <family val="2"/>
      <color theme="1"/>
      <sz val="11"/>
      <scheme val="minor"/>
    </font>
    <font>
      <b val="1"/>
      <color rgb="00FFFFFF"/>
      <sz val="24"/>
    </font>
    <font>
      <color rgb="00FFF3B0"/>
      <sz val="13"/>
    </font>
    <font>
      <i val="1"/>
      <color rgb="00C9D6E5"/>
      <sz val="10"/>
    </font>
    <font>
      <b val="1"/>
      <color rgb="00003366"/>
      <sz val="11"/>
    </font>
    <font>
      <color rgb="00111827"/>
      <sz val="10"/>
    </font>
    <font>
      <b val="1"/>
      <color rgb="000066CC"/>
      <sz val="10"/>
    </font>
    <font>
      <b val="1"/>
      <color rgb="00FFFFFF"/>
      <sz val="16"/>
    </font>
    <font>
      <i val="1"/>
      <color rgb="00FFFFFF"/>
      <sz val="10"/>
    </font>
    <font>
      <b val="1"/>
      <color rgb="00FFFFFF"/>
      <sz val="11"/>
    </font>
    <font>
      <b val="1"/>
      <color rgb="00003366"/>
      <sz val="10"/>
    </font>
    <font>
      <sz val="10"/>
    </font>
    <font>
      <b val="1"/>
      <color rgb="00FFFFFF"/>
      <sz val="10"/>
    </font>
    <font>
      <name val="Consolas"/>
      <b val="1"/>
      <color rgb="00003366"/>
      <sz val="9"/>
    </font>
    <font>
      <color rgb="006B7280"/>
      <sz val="9"/>
    </font>
    <font>
      <i val="1"/>
      <color rgb="006B7280"/>
      <sz val="8"/>
    </font>
    <font>
      <b val="1"/>
      <sz val="10"/>
    </font>
    <font>
      <b val="1"/>
      <color rgb="00111827"/>
      <sz val="11"/>
    </font>
    <font>
      <i val="1"/>
      <color rgb="006B7280"/>
      <sz val="9"/>
    </font>
    <font>
      <b val="1"/>
      <color rgb="00FFFFFF"/>
      <sz val="9"/>
    </font>
    <font>
      <sz val="9"/>
    </font>
    <font>
      <b val="1"/>
      <sz val="9"/>
    </font>
    <font>
      <b val="1"/>
      <color rgb="00003366"/>
      <sz val="9"/>
    </font>
    <font>
      <color rgb="00111827"/>
      <sz val="9"/>
    </font>
  </fonts>
  <fills count="11">
    <fill>
      <patternFill/>
    </fill>
    <fill>
      <patternFill patternType="gray125"/>
    </fill>
    <fill>
      <patternFill patternType="solid">
        <fgColor rgb="00003366"/>
      </patternFill>
    </fill>
    <fill>
      <patternFill patternType="solid">
        <fgColor rgb="00FFF3B0"/>
      </patternFill>
    </fill>
    <fill>
      <patternFill patternType="solid">
        <fgColor rgb="000066CC"/>
      </patternFill>
    </fill>
    <fill>
      <patternFill patternType="solid">
        <fgColor rgb="00F4A261"/>
      </patternFill>
    </fill>
    <fill>
      <patternFill patternType="solid">
        <fgColor rgb="00F4F6F8"/>
      </patternFill>
    </fill>
    <fill>
      <patternFill patternType="solid">
        <fgColor rgb="00FFFF00"/>
      </patternFill>
    </fill>
    <fill>
      <patternFill patternType="solid">
        <fgColor rgb="002A9D8F"/>
      </patternFill>
    </fill>
    <fill>
      <patternFill patternType="solid">
        <fgColor rgb="00E8F5E9"/>
      </patternFill>
    </fill>
    <fill>
      <patternFill patternType="solid">
        <fgColor rgb="00FDECEA"/>
      </patternFill>
    </fill>
  </fills>
  <borders count="3">
    <border>
      <left/>
      <right/>
      <top/>
      <bottom/>
      <diagonal/>
    </border>
    <border>
      <left style="medium">
        <color rgb="00003366"/>
      </left>
      <right style="medium">
        <color rgb="00003366"/>
      </right>
      <top style="medium">
        <color rgb="00003366"/>
      </top>
      <bottom style="medium">
        <color rgb="00003366"/>
      </bottom>
    </border>
    <border>
      <left style="thin">
        <color rgb="00E5E7EB"/>
      </left>
      <right style="thin">
        <color rgb="00E5E7EB"/>
      </right>
      <top style="thin">
        <color rgb="00E5E7EB"/>
      </top>
      <bottom style="thin">
        <color rgb="00E5E7EB"/>
      </bottom>
    </border>
  </borders>
  <cellStyleXfs count="1">
    <xf numFmtId="0" fontId="0" fillId="0" borderId="0"/>
  </cellStyleXfs>
  <cellXfs count="106">
    <xf numFmtId="0" fontId="0" fillId="0" borderId="0" pivotButton="0" quotePrefix="0" xfId="0"/>
    <xf numFmtId="0" fontId="0" fillId="2" borderId="0" pivotButton="0" quotePrefix="0" xfId="0"/>
    <xf numFmtId="0" fontId="1" fillId="2" borderId="0" applyAlignment="1" pivotButton="0" quotePrefix="0" xfId="0">
      <alignment horizontal="center" vertical="center" wrapText="1"/>
    </xf>
    <xf numFmtId="0" fontId="2" fillId="2" borderId="0" applyAlignment="1" pivotButton="0" quotePrefix="0" xfId="0">
      <alignment horizontal="center" vertical="center" wrapText="1"/>
    </xf>
    <xf numFmtId="0" fontId="3" fillId="2" borderId="0" applyAlignment="1" pivotButton="0" quotePrefix="0" xfId="0">
      <alignment horizontal="center" vertical="center" wrapText="1"/>
    </xf>
    <xf numFmtId="0" fontId="4" fillId="3" borderId="0" applyAlignment="1" pivotButton="0" quotePrefix="0" xfId="0">
      <alignment horizontal="center" vertical="center" wrapText="1"/>
    </xf>
    <xf numFmtId="0" fontId="4" fillId="0" borderId="0" applyAlignment="1" pivotButton="0" quotePrefix="0" xfId="0">
      <alignment horizontal="left" vertical="center" wrapText="1"/>
    </xf>
    <xf numFmtId="0" fontId="5" fillId="0" borderId="0" applyAlignment="1" pivotButton="0" quotePrefix="0" xfId="0">
      <alignment horizontal="left" vertical="center" wrapText="1"/>
    </xf>
    <xf numFmtId="0" fontId="6" fillId="0" borderId="0" applyAlignment="1" pivotButton="0" quotePrefix="0" xfId="0">
      <alignment horizontal="center" vertical="center" wrapText="1"/>
    </xf>
    <xf numFmtId="0" fontId="7" fillId="2" borderId="0" applyAlignment="1" pivotButton="0" quotePrefix="0" xfId="0">
      <alignment horizontal="left" vertical="center" indent="1"/>
    </xf>
    <xf numFmtId="0" fontId="8" fillId="4" borderId="0" applyAlignment="1" pivotButton="0" quotePrefix="0" xfId="0">
      <alignment horizontal="left" vertical="center" indent="1"/>
    </xf>
    <xf numFmtId="0" fontId="9" fillId="4" borderId="0" applyAlignment="1" pivotButton="0" quotePrefix="0" xfId="0">
      <alignment horizontal="left" vertical="center" wrapText="1"/>
    </xf>
    <xf numFmtId="0" fontId="10" fillId="0" borderId="0" applyAlignment="1" pivotButton="0" quotePrefix="0" xfId="0">
      <alignment horizontal="left" vertical="center" wrapText="1"/>
    </xf>
    <xf numFmtId="0" fontId="11" fillId="0" borderId="0" applyAlignment="1" pivotButton="0" quotePrefix="0" xfId="0">
      <alignment horizontal="left" vertical="center" wrapText="1"/>
    </xf>
    <xf numFmtId="0" fontId="9" fillId="5" borderId="0" applyAlignment="1" pivotButton="0" quotePrefix="0" xfId="0">
      <alignment horizontal="left" vertical="center" wrapText="1"/>
    </xf>
    <xf numFmtId="0" fontId="12" fillId="4" borderId="0" applyAlignment="1" pivotButton="0" quotePrefix="0" xfId="0">
      <alignment horizontal="left" vertical="center" wrapText="1"/>
    </xf>
    <xf numFmtId="0" fontId="13" fillId="0" borderId="0" applyAlignment="1" pivotButton="0" quotePrefix="0" xfId="0">
      <alignment horizontal="left" vertical="center" wrapText="1"/>
    </xf>
    <xf numFmtId="0" fontId="14" fillId="0" borderId="0" applyAlignment="1" pivotButton="0" quotePrefix="0" xfId="0">
      <alignment horizontal="left" vertical="center" wrapText="1"/>
    </xf>
    <xf numFmtId="0" fontId="15" fillId="6" borderId="0" applyAlignment="1" pivotButton="0" quotePrefix="0" xfId="0">
      <alignment horizontal="center" vertical="center"/>
    </xf>
    <xf numFmtId="0" fontId="16" fillId="0" borderId="0" pivotButton="0" quotePrefix="0" xfId="0"/>
    <xf numFmtId="0" fontId="17" fillId="7" borderId="1" applyAlignment="1" pivotButton="0" quotePrefix="0" xfId="0">
      <alignment horizontal="center" vertical="center" wrapText="1"/>
    </xf>
    <xf numFmtId="0" fontId="16" fillId="0" borderId="0" applyAlignment="1" pivotButton="0" quotePrefix="0" xfId="0">
      <alignment horizontal="left" vertical="center" wrapText="1"/>
    </xf>
    <xf numFmtId="0" fontId="0" fillId="0" borderId="2" applyAlignment="1" pivotButton="0" quotePrefix="0" xfId="0">
      <alignment horizontal="center" vertical="center" wrapText="1"/>
    </xf>
    <xf numFmtId="164" fontId="0" fillId="0" borderId="0" pivotButton="0" quotePrefix="0" xfId="0"/>
    <xf numFmtId="164" fontId="0" fillId="0" borderId="2" applyAlignment="1" pivotButton="0" quotePrefix="0" xfId="0">
      <alignment horizontal="center" vertical="center" wrapText="1"/>
    </xf>
    <xf numFmtId="165" fontId="17" fillId="7" borderId="1" applyAlignment="1" pivotButton="0" quotePrefix="0" xfId="0">
      <alignment horizontal="center" vertical="center" wrapText="1"/>
    </xf>
    <xf numFmtId="164" fontId="17" fillId="7" borderId="1" applyAlignment="1" pivotButton="0" quotePrefix="0" xfId="0">
      <alignment horizontal="center" vertical="center" wrapText="1"/>
    </xf>
    <xf numFmtId="10" fontId="17" fillId="7" borderId="1" applyAlignment="1" pivotButton="0" quotePrefix="0" xfId="0">
      <alignment horizontal="center" vertical="center" wrapText="1"/>
    </xf>
    <xf numFmtId="167" fontId="0" fillId="0" borderId="2" applyAlignment="1" pivotButton="0" quotePrefix="0" xfId="0">
      <alignment horizontal="center" vertical="center" wrapText="1"/>
    </xf>
    <xf numFmtId="10" fontId="0" fillId="0" borderId="0" pivotButton="0" quotePrefix="0" xfId="0"/>
    <xf numFmtId="3" fontId="0" fillId="0" borderId="2" applyAlignment="1" pivotButton="0" quotePrefix="0" xfId="0">
      <alignment horizontal="center" vertical="center" wrapText="1"/>
    </xf>
    <xf numFmtId="10" fontId="0" fillId="0" borderId="2" applyAlignment="1" pivotButton="0" quotePrefix="0" xfId="0">
      <alignment horizontal="center" vertical="center" wrapText="1"/>
    </xf>
    <xf numFmtId="2" fontId="0" fillId="0" borderId="2" applyAlignment="1" pivotButton="0" quotePrefix="0" xfId="0">
      <alignment horizontal="center" vertical="center" wrapText="1"/>
    </xf>
    <xf numFmtId="1" fontId="17" fillId="7" borderId="1" applyAlignment="1" pivotButton="0" quotePrefix="0" xfId="0">
      <alignment horizontal="center" vertical="center" wrapText="1"/>
    </xf>
    <xf numFmtId="1" fontId="0" fillId="0" borderId="0" pivotButton="0" quotePrefix="0" xfId="0"/>
    <xf numFmtId="166" fontId="0" fillId="0" borderId="0" pivotButton="0" quotePrefix="0" xfId="0"/>
    <xf numFmtId="166" fontId="0" fillId="0" borderId="2" pivotButton="0" quotePrefix="0" xfId="0"/>
    <xf numFmtId="164" fontId="0" fillId="0" borderId="2" pivotButton="0" quotePrefix="0" xfId="0"/>
    <xf numFmtId="168" fontId="0" fillId="0" borderId="2" pivotButton="0" quotePrefix="0" xfId="0"/>
    <xf numFmtId="167" fontId="0" fillId="0" borderId="2" pivotButton="0" quotePrefix="0" xfId="0"/>
    <xf numFmtId="0" fontId="18" fillId="0" borderId="2" pivotButton="0" quotePrefix="0" xfId="0"/>
    <xf numFmtId="0" fontId="9" fillId="8" borderId="0" applyAlignment="1" pivotButton="0" quotePrefix="0" xfId="0">
      <alignment horizontal="left" vertical="center" wrapText="1"/>
    </xf>
    <xf numFmtId="0" fontId="18" fillId="0" borderId="0" applyAlignment="1" pivotButton="0" quotePrefix="0" xfId="0">
      <alignment horizontal="left" vertical="center" wrapText="1"/>
    </xf>
    <xf numFmtId="0" fontId="19" fillId="4" borderId="2" applyAlignment="1" pivotButton="0" quotePrefix="0" xfId="0">
      <alignment horizontal="center" vertical="center" wrapText="1"/>
    </xf>
    <xf numFmtId="166" fontId="0" fillId="0" borderId="2" applyAlignment="1" pivotButton="0" quotePrefix="0" xfId="0">
      <alignment horizontal="center" vertical="center" wrapText="1"/>
    </xf>
    <xf numFmtId="0" fontId="20" fillId="0" borderId="0" applyAlignment="1" pivotButton="0" quotePrefix="0" xfId="0">
      <alignment horizontal="left" vertical="center" wrapText="1"/>
    </xf>
    <xf numFmtId="169" fontId="0" fillId="0" borderId="2" applyAlignment="1" pivotButton="0" quotePrefix="0" xfId="0">
      <alignment horizontal="center" vertical="center" wrapText="1"/>
    </xf>
    <xf numFmtId="170" fontId="0" fillId="0" borderId="2" applyAlignment="1" pivotButton="0" quotePrefix="0" xfId="0">
      <alignment horizontal="center" vertical="center" wrapText="1"/>
    </xf>
    <xf numFmtId="171" fontId="0" fillId="9" borderId="2" applyAlignment="1" pivotButton="0" quotePrefix="0" xfId="0">
      <alignment horizontal="center" vertical="center" wrapText="1"/>
    </xf>
    <xf numFmtId="172" fontId="0" fillId="0" borderId="2" applyAlignment="1" pivotButton="0" quotePrefix="0" xfId="0">
      <alignment horizontal="center" vertical="center" wrapText="1"/>
    </xf>
    <xf numFmtId="171" fontId="0" fillId="0" borderId="2" applyAlignment="1" pivotButton="0" quotePrefix="0" xfId="0">
      <alignment horizontal="center" vertical="center" wrapText="1"/>
    </xf>
    <xf numFmtId="0" fontId="14" fillId="0" borderId="2" applyAlignment="1" pivotButton="0" quotePrefix="0" xfId="0">
      <alignment horizontal="left" vertical="center" wrapText="1"/>
    </xf>
    <xf numFmtId="170" fontId="0" fillId="6" borderId="2" applyAlignment="1" pivotButton="0" quotePrefix="0" xfId="0">
      <alignment horizontal="center" vertical="center" wrapText="1"/>
    </xf>
    <xf numFmtId="164" fontId="0" fillId="6" borderId="2" applyAlignment="1" pivotButton="0" quotePrefix="0" xfId="0">
      <alignment horizontal="center" vertical="center" wrapText="1"/>
    </xf>
    <xf numFmtId="172" fontId="0" fillId="6" borderId="2" applyAlignment="1" pivotButton="0" quotePrefix="0" xfId="0">
      <alignment horizontal="center" vertical="center" wrapText="1"/>
    </xf>
    <xf numFmtId="171" fontId="0" fillId="6" borderId="2" applyAlignment="1" pivotButton="0" quotePrefix="0" xfId="0">
      <alignment horizontal="center" vertical="center" wrapText="1"/>
    </xf>
    <xf numFmtId="0" fontId="14" fillId="6" borderId="2" applyAlignment="1" pivotButton="0" quotePrefix="0" xfId="0">
      <alignment horizontal="left" vertical="center" wrapText="1"/>
    </xf>
    <xf numFmtId="171" fontId="0" fillId="10" borderId="2" applyAlignment="1" pivotButton="0" quotePrefix="0" xfId="0">
      <alignment horizontal="center" vertical="center" wrapText="1"/>
    </xf>
    <xf numFmtId="0" fontId="16" fillId="0" borderId="2" applyAlignment="1" pivotButton="0" quotePrefix="0" xfId="0">
      <alignment horizontal="center" vertical="center" wrapText="1"/>
    </xf>
    <xf numFmtId="173" fontId="20" fillId="0" borderId="2" applyAlignment="1" pivotButton="0" quotePrefix="0" xfId="0">
      <alignment horizontal="center" vertical="center" wrapText="1"/>
    </xf>
    <xf numFmtId="174" fontId="20" fillId="0" borderId="2" applyAlignment="1" pivotButton="0" quotePrefix="0" xfId="0">
      <alignment horizontal="center" vertical="center" wrapText="1"/>
    </xf>
    <xf numFmtId="164" fontId="20" fillId="0" borderId="2" applyAlignment="1" pivotButton="0" quotePrefix="0" xfId="0">
      <alignment horizontal="center" vertical="center" wrapText="1"/>
    </xf>
    <xf numFmtId="167" fontId="20" fillId="0" borderId="2" applyAlignment="1" pivotButton="0" quotePrefix="0" xfId="0">
      <alignment horizontal="center" vertical="center" wrapText="1"/>
    </xf>
    <xf numFmtId="175" fontId="20" fillId="0" borderId="2" applyAlignment="1" pivotButton="0" quotePrefix="0" xfId="0">
      <alignment horizontal="center" vertical="center" wrapText="1"/>
    </xf>
    <xf numFmtId="176" fontId="20" fillId="0" borderId="2" applyAlignment="1" pivotButton="0" quotePrefix="0" xfId="0">
      <alignment horizontal="center" vertical="center" wrapText="1"/>
    </xf>
    <xf numFmtId="3" fontId="20" fillId="0" borderId="2" applyAlignment="1" pivotButton="0" quotePrefix="0" xfId="0">
      <alignment horizontal="center" vertical="center" wrapText="1"/>
    </xf>
    <xf numFmtId="173" fontId="20" fillId="6" borderId="2" applyAlignment="1" pivotButton="0" quotePrefix="0" xfId="0">
      <alignment horizontal="center" vertical="center" wrapText="1"/>
    </xf>
    <xf numFmtId="174" fontId="20" fillId="6" borderId="2" applyAlignment="1" pivotButton="0" quotePrefix="0" xfId="0">
      <alignment horizontal="center" vertical="center" wrapText="1"/>
    </xf>
    <xf numFmtId="164" fontId="20" fillId="6" borderId="2" applyAlignment="1" pivotButton="0" quotePrefix="0" xfId="0">
      <alignment horizontal="center" vertical="center" wrapText="1"/>
    </xf>
    <xf numFmtId="167" fontId="20" fillId="6" borderId="2" applyAlignment="1" pivotButton="0" quotePrefix="0" xfId="0">
      <alignment horizontal="center" vertical="center" wrapText="1"/>
    </xf>
    <xf numFmtId="175" fontId="20" fillId="6" borderId="2" applyAlignment="1" pivotButton="0" quotePrefix="0" xfId="0">
      <alignment horizontal="center" vertical="center" wrapText="1"/>
    </xf>
    <xf numFmtId="176" fontId="20" fillId="6" borderId="2" applyAlignment="1" pivotButton="0" quotePrefix="0" xfId="0">
      <alignment horizontal="center" vertical="center" wrapText="1"/>
    </xf>
    <xf numFmtId="3" fontId="20" fillId="6" borderId="2" applyAlignment="1" pivotButton="0" quotePrefix="0" xfId="0">
      <alignment horizontal="center" vertical="center" wrapText="1"/>
    </xf>
    <xf numFmtId="173" fontId="21" fillId="3" borderId="2" applyAlignment="1" pivotButton="0" quotePrefix="0" xfId="0">
      <alignment horizontal="center" vertical="center" wrapText="1"/>
    </xf>
    <xf numFmtId="174" fontId="21" fillId="3" borderId="2" applyAlignment="1" pivotButton="0" quotePrefix="0" xfId="0">
      <alignment horizontal="center" vertical="center" wrapText="1"/>
    </xf>
    <xf numFmtId="164" fontId="21" fillId="3" borderId="2" applyAlignment="1" pivotButton="0" quotePrefix="0" xfId="0">
      <alignment horizontal="center" vertical="center" wrapText="1"/>
    </xf>
    <xf numFmtId="167" fontId="21" fillId="3" borderId="2" applyAlignment="1" pivotButton="0" quotePrefix="0" xfId="0">
      <alignment horizontal="center" vertical="center" wrapText="1"/>
    </xf>
    <xf numFmtId="175" fontId="21" fillId="3" borderId="2" applyAlignment="1" pivotButton="0" quotePrefix="0" xfId="0">
      <alignment horizontal="center" vertical="center" wrapText="1"/>
    </xf>
    <xf numFmtId="176" fontId="21" fillId="3" borderId="2" applyAlignment="1" pivotButton="0" quotePrefix="0" xfId="0">
      <alignment horizontal="center" vertical="center" wrapText="1"/>
    </xf>
    <xf numFmtId="3" fontId="21" fillId="3" borderId="2" applyAlignment="1" pivotButton="0" quotePrefix="0" xfId="0">
      <alignment horizontal="center" vertical="center" wrapText="1"/>
    </xf>
    <xf numFmtId="0" fontId="22" fillId="0" borderId="2" applyAlignment="1" pivotButton="0" quotePrefix="0" xfId="0">
      <alignment horizontal="left" vertical="center" wrapText="1"/>
    </xf>
    <xf numFmtId="0" fontId="23" fillId="0" borderId="2" applyAlignment="1" pivotButton="0" quotePrefix="0" xfId="0">
      <alignment horizontal="left" vertical="center" wrapText="1"/>
    </xf>
    <xf numFmtId="0" fontId="23" fillId="0" borderId="2" applyAlignment="1" pivotButton="0" quotePrefix="0" xfId="0">
      <alignment horizontal="center" vertical="center" wrapText="1"/>
    </xf>
    <xf numFmtId="0" fontId="22" fillId="6" borderId="2" applyAlignment="1" pivotButton="0" quotePrefix="0" xfId="0">
      <alignment horizontal="left" vertical="center" wrapText="1"/>
    </xf>
    <xf numFmtId="0" fontId="23" fillId="6" borderId="2" applyAlignment="1" pivotButton="0" quotePrefix="0" xfId="0">
      <alignment horizontal="left" vertical="center" wrapText="1"/>
    </xf>
    <xf numFmtId="0" fontId="23" fillId="6" borderId="2" applyAlignment="1" pivotButton="0" quotePrefix="0" xfId="0">
      <alignment horizontal="center" vertical="center" wrapText="1"/>
    </xf>
    <xf numFmtId="173" fontId="17" fillId="7" borderId="1" applyAlignment="1" pivotButton="0" quotePrefix="0" xfId="0">
      <alignment horizontal="center" vertical="center" wrapText="1"/>
    </xf>
    <xf numFmtId="167" fontId="17" fillId="7" borderId="1" applyAlignment="1" pivotButton="0" quotePrefix="0" xfId="0">
      <alignment horizontal="center" vertical="center" wrapText="1"/>
    </xf>
    <xf numFmtId="173" fontId="10" fillId="0" borderId="2" applyAlignment="1" pivotButton="0" quotePrefix="0" xfId="0">
      <alignment horizontal="center" vertical="center" wrapText="1"/>
    </xf>
    <xf numFmtId="1" fontId="10" fillId="0" borderId="2" applyAlignment="1" pivotButton="0" quotePrefix="0" xfId="0">
      <alignment horizontal="center" vertical="center" wrapText="1"/>
    </xf>
    <xf numFmtId="10" fontId="10" fillId="0" borderId="2" applyAlignment="1" pivotButton="0" quotePrefix="0" xfId="0">
      <alignment horizontal="center" vertical="center" wrapText="1"/>
    </xf>
    <xf numFmtId="3" fontId="10" fillId="0" borderId="2" applyAlignment="1" pivotButton="0" quotePrefix="0" xfId="0">
      <alignment horizontal="center" vertical="center" wrapText="1"/>
    </xf>
    <xf numFmtId="167" fontId="10" fillId="0" borderId="2" applyAlignment="1" pivotButton="0" quotePrefix="0" xfId="0">
      <alignment horizontal="center" vertical="center" wrapText="1"/>
    </xf>
    <xf numFmtId="10" fontId="20" fillId="0" borderId="2" applyAlignment="1" pivotButton="0" quotePrefix="0" xfId="0">
      <alignment horizontal="center" vertical="center" wrapText="1"/>
    </xf>
    <xf numFmtId="1" fontId="20" fillId="0" borderId="2" applyAlignment="1" pivotButton="0" quotePrefix="0" xfId="0">
      <alignment horizontal="center" vertical="center" wrapText="1"/>
    </xf>
    <xf numFmtId="10" fontId="21" fillId="3" borderId="2" applyAlignment="1" pivotButton="0" quotePrefix="0" xfId="0">
      <alignment horizontal="center" vertical="center" wrapText="1"/>
    </xf>
    <xf numFmtId="1" fontId="21" fillId="3" borderId="2" applyAlignment="1" pivotButton="0" quotePrefix="0" xfId="0">
      <alignment horizontal="center" vertical="center" wrapText="1"/>
    </xf>
    <xf numFmtId="49" fontId="21" fillId="0" borderId="2" applyAlignment="1" pivotButton="0" quotePrefix="0" xfId="0">
      <alignment horizontal="center" vertical="center" wrapText="1"/>
    </xf>
    <xf numFmtId="49" fontId="20" fillId="0" borderId="2" applyAlignment="1" pivotButton="0" quotePrefix="0" xfId="0">
      <alignment horizontal="left" vertical="center" wrapText="1"/>
    </xf>
    <xf numFmtId="2" fontId="20" fillId="0" borderId="2" applyAlignment="1" pivotButton="0" quotePrefix="0" xfId="0">
      <alignment horizontal="center" vertical="center" wrapText="1"/>
    </xf>
    <xf numFmtId="177" fontId="20" fillId="0" borderId="2" applyAlignment="1" pivotButton="0" quotePrefix="0" xfId="0">
      <alignment horizontal="center" vertical="center" wrapText="1"/>
    </xf>
    <xf numFmtId="49" fontId="21" fillId="6" borderId="2" applyAlignment="1" pivotButton="0" quotePrefix="0" xfId="0">
      <alignment horizontal="center" vertical="center" wrapText="1"/>
    </xf>
    <xf numFmtId="49" fontId="20" fillId="6" borderId="2" applyAlignment="1" pivotButton="0" quotePrefix="0" xfId="0">
      <alignment horizontal="left" vertical="center" wrapText="1"/>
    </xf>
    <xf numFmtId="10" fontId="20" fillId="6" borderId="2" applyAlignment="1" pivotButton="0" quotePrefix="0" xfId="0">
      <alignment horizontal="center" vertical="center" wrapText="1"/>
    </xf>
    <xf numFmtId="2" fontId="20" fillId="6" borderId="2" applyAlignment="1" pivotButton="0" quotePrefix="0" xfId="0">
      <alignment horizontal="center" vertical="center" wrapText="1"/>
    </xf>
    <xf numFmtId="177" fontId="20" fillId="6" borderId="2"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comments/comment1.xml><?xml version="1.0" encoding="utf-8"?>
<comments xmlns="http://schemas.openxmlformats.org/spreadsheetml/2006/main">
  <authors>
    <author>MarketXLS</author>
  </authors>
  <commentList>
    <comment ref="F5" authorId="0" shapeId="0">
      <text>
        <t>MarketXLS / Excel formula:
=OptionSymbol($C$5,TEXT($C$7,"yyyy-mm-dd"),"P",$C$8)</t>
      </text>
    </comment>
    <comment ref="C6" authorId="0" shapeId="0">
      <text>
        <t>MarketXLS / Excel formula:
=Last($C$5)</t>
      </text>
    </comment>
    <comment ref="F6" authorId="0" shapeId="0">
      <text>
        <t>MarketXLS / Excel formula:
=Bid($F$5)</t>
      </text>
    </comment>
    <comment ref="F7" authorId="0" shapeId="0">
      <text>
        <t>MarketXLS / Excel formula:
=Ask($F$5)</t>
      </text>
    </comment>
    <comment ref="C10" authorId="0" shapeId="0">
      <text>
        <t>MarketXLS / Excel formula:
=DividendYield($C$5)</t>
      </text>
    </comment>
    <comment ref="F10" authorId="0" shapeId="0">
      <text>
        <t>MarketXLS / Excel formula:
=QM_OpenInterest($F$5)</t>
      </text>
    </comment>
    <comment ref="F11" authorId="0" shapeId="0">
      <text>
        <t>MarketXLS / Excel formula:
=opt_ImpliedVolatility($C$6,$F$8,$C$7,"P",$C$8,$C$9,$C$10)</t>
      </text>
    </comment>
    <comment ref="C12" authorId="0" shapeId="0">
      <text>
        <t>MarketXLS / Excel formula:
=ImpliedVolatility30d("AAPL")   (returns a decimal)</t>
      </text>
    </comment>
    <comment ref="F12" authorId="0" shapeId="0">
      <text>
        <t>MarketXLS / Excel formula:
=opt_PutCallOIRatio($C$5)</t>
      </text>
    </comment>
    <comment ref="F13" authorId="0" shapeId="0">
      <text>
        <t>MarketXLS / Excel formula:
=opt_PutCallVolRatio($C$5)</t>
      </text>
    </comment>
    <comment ref="C14" authorId="0" shapeId="0">
      <text>
        <t>MarketXLS / Excel formula:
=OPT_DaysToExpiration(OptionSymbol(...))</t>
      </text>
    </comment>
    <comment ref="F14" authorId="0" shapeId="0">
      <text>
        <t>MarketXLS / Excel formula:
=earnings_date($C$5)</t>
      </text>
    </comment>
    <comment ref="C36" authorId="0" shapeId="0">
      <text>
        <t>MarketXLS / Excel formula:
=opt_Delta($C$6,$F$8,$C$7,"P",$C$8,$C$9,$C$10,$C$11)</t>
      </text>
    </comment>
    <comment ref="C37" authorId="0" shapeId="0">
      <text>
        <t>MarketXLS / Excel formula:
=opt_Gamma($C$6,$F$8,$C$7,"P",$C$8,$C$9,$C$10,$C$11)</t>
      </text>
    </comment>
    <comment ref="C38" authorId="0" shapeId="0">
      <text>
        <t>MarketXLS / Excel formula:
=opt_Theta($C$6,$F$8,$C$7,"P",$C$8,$C$9,$C$10,$C$11)</t>
      </text>
    </comment>
    <comment ref="C39" authorId="0" shapeId="0">
      <text>
        <t>MarketXLS / Excel formula:
=opt_Vega($C$6,$F$8,$C$7,"P",$C$8,$C$9,$C$10,$C$11)</t>
      </text>
    </comment>
    <comment ref="C40" authorId="0" shapeId="0">
      <text>
        <t>MarketXLS / Excel formula:
=opt_Rho($C$6,$F$8,$C$7,"P",$C$8,$C$9,$C$10,$C$11)</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tabColor rgb="00003366"/>
    <outlinePr summaryBelow="1" summaryRight="1"/>
    <pageSetUpPr/>
  </sheetPr>
  <dimension ref="A1:J34"/>
  <sheetViews>
    <sheetView showGridLines="0" workbookViewId="0">
      <selection activeCell="A1" sqref="A1"/>
    </sheetView>
  </sheetViews>
  <sheetFormatPr baseColWidth="8" defaultRowHeight="15"/>
  <cols>
    <col width="12"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s>
  <sheetData>
    <row r="1" ht="18" customHeight="1">
      <c r="A1" s="1" t="n"/>
      <c r="B1" s="1" t="n"/>
      <c r="C1" s="1" t="n"/>
      <c r="D1" s="1" t="n"/>
      <c r="E1" s="1" t="n"/>
      <c r="F1" s="1" t="n"/>
      <c r="G1" s="1" t="n"/>
      <c r="H1" s="1" t="n"/>
      <c r="I1" s="1" t="n"/>
      <c r="J1" s="1" t="n"/>
    </row>
    <row r="2" ht="18" customHeight="1">
      <c r="A2" s="1" t="n"/>
      <c r="B2" s="1" t="n"/>
      <c r="C2" s="1" t="n"/>
      <c r="D2" s="1" t="n"/>
      <c r="E2" s="1" t="n"/>
      <c r="F2" s="1" t="n"/>
      <c r="G2" s="1" t="n"/>
      <c r="H2" s="1" t="n"/>
      <c r="I2" s="1" t="n"/>
      <c r="J2" s="1" t="n"/>
    </row>
    <row r="3" ht="44" customHeight="1">
      <c r="A3" s="1" t="n"/>
      <c r="B3" s="2" t="inlineStr">
        <is>
          <t>PUT OPTION CALCULATOR</t>
        </is>
      </c>
      <c r="J3" s="1" t="n"/>
    </row>
    <row r="4" ht="18" customHeight="1">
      <c r="A4" s="1" t="n"/>
      <c r="B4" s="1" t="n"/>
      <c r="C4" s="1" t="n"/>
      <c r="D4" s="1" t="n"/>
      <c r="E4" s="1" t="n"/>
      <c r="F4" s="1" t="n"/>
      <c r="G4" s="1" t="n"/>
      <c r="H4" s="1" t="n"/>
      <c r="I4" s="1" t="n"/>
      <c r="J4" s="1" t="n"/>
    </row>
    <row r="5" ht="24" customHeight="1">
      <c r="A5" s="1" t="n"/>
      <c r="B5" s="3" t="inlineStr">
        <is>
          <t>Pricing, Greeks, Breakeven and Payoff for Long and Short Puts</t>
        </is>
      </c>
      <c r="J5" s="1" t="n"/>
    </row>
    <row r="6" ht="18" customHeight="1">
      <c r="A6" s="1" t="n"/>
      <c r="B6" s="1" t="n"/>
      <c r="C6" s="1" t="n"/>
      <c r="D6" s="1" t="n"/>
      <c r="E6" s="1" t="n"/>
      <c r="F6" s="1" t="n"/>
      <c r="G6" s="1" t="n"/>
      <c r="H6" s="1" t="n"/>
      <c r="I6" s="1" t="n"/>
      <c r="J6" s="1" t="n"/>
    </row>
    <row r="7" ht="18" customHeight="1">
      <c r="A7" s="1" t="n"/>
      <c r="B7" s="4" t="inlineStr">
        <is>
          <t>2026 Edition  |  Version 1.0  |  Sample workbook (static values)</t>
        </is>
      </c>
      <c r="J7" s="1" t="n"/>
    </row>
    <row r="8" ht="18" customHeight="1">
      <c r="A8" s="1" t="n"/>
      <c r="B8" s="1" t="n"/>
      <c r="C8" s="1" t="n"/>
      <c r="D8" s="1" t="n"/>
      <c r="E8" s="1" t="n"/>
      <c r="F8" s="1" t="n"/>
      <c r="G8" s="1" t="n"/>
      <c r="H8" s="1" t="n"/>
      <c r="I8" s="1" t="n"/>
      <c r="J8" s="1" t="n"/>
    </row>
    <row r="9" ht="18" customHeight="1"/>
    <row r="10" ht="18" customHeight="1">
      <c r="B10" s="5" t="inlineStr">
        <is>
          <t>Data as of: 2026-08-15</t>
        </is>
      </c>
    </row>
    <row r="11" ht="18" customHeight="1"/>
    <row r="12" ht="18" customHeight="1"/>
    <row r="13" ht="18" customHeight="1">
      <c r="B13" s="6" t="inlineStr">
        <is>
          <t>What this workbook does</t>
        </is>
      </c>
    </row>
    <row r="14" ht="16" customHeight="1">
      <c r="B14" s="7" t="inlineStr">
        <is>
          <t>Prices a put option, breaks the premium into intrinsic and time value, returns the full Greek set, and shows the profit and loss at every underlying price.</t>
        </is>
      </c>
    </row>
    <row r="15" ht="18" customHeight="1"/>
    <row r="16" ht="18" customHeight="1"/>
    <row r="17" ht="18" customHeight="1">
      <c r="B17" s="6" t="inlineStr">
        <is>
          <t>Worked example</t>
        </is>
      </c>
    </row>
    <row r="18" ht="16" customHeight="1">
      <c r="B18" s="7" t="inlineStr">
        <is>
          <t>AAPL Sep 18, 2026 $300 put, underlying at $305.93, 34 days to expiration.</t>
        </is>
      </c>
    </row>
    <row r="19" ht="18" customHeight="1"/>
    <row r="20" ht="18" customHeight="1"/>
    <row r="21" ht="18" customHeight="1">
      <c r="B21" s="6" t="inlineStr">
        <is>
          <t>Sheets</t>
        </is>
      </c>
    </row>
    <row r="22" ht="16" customHeight="1">
      <c r="B22" s="7" t="inlineStr">
        <is>
          <t>Put Calculator, Payoff Scenarios, Strike Ladder, Strategy Compare, Position Sizing, Volatility Compare.</t>
        </is>
      </c>
    </row>
    <row r="23" ht="18" customHeight="1"/>
    <row r="24" ht="18" customHeight="1"/>
    <row r="25" ht="18" customHeight="1">
      <c r="B25" s="6" t="inlineStr">
        <is>
          <t>Inputs</t>
        </is>
      </c>
    </row>
    <row r="26" ht="16" customHeight="1">
      <c r="B26" s="7" t="inlineStr">
        <is>
          <t>Every yellow cell is an input. Change the ticker, strike, expiry, rate or volatility and every sheet updates.</t>
        </is>
      </c>
    </row>
    <row r="27" ht="18" customHeight="1"/>
    <row r="28" ht="18" customHeight="1"/>
    <row r="29" ht="18" customHeight="1">
      <c r="B29" s="6" t="inlineStr">
        <is>
          <t>Educational use only</t>
        </is>
      </c>
    </row>
    <row r="30" ht="16" customHeight="1">
      <c r="B30" s="7" t="inlineStr">
        <is>
          <t>This workbook is an analysis tool. It contains no recommendation to buy or sell any security.</t>
        </is>
      </c>
    </row>
    <row r="31" ht="18" customHeight="1"/>
    <row r="32" ht="18" customHeight="1"/>
    <row r="33" ht="18" customHeight="1"/>
    <row r="34" ht="18" customHeight="1">
      <c r="B34" s="8" t="inlineStr">
        <is>
          <t>MarketXLS: https://marketxls.com      |      Book a demo: https://marketxls.com/book-demo</t>
        </is>
      </c>
    </row>
    <row r="35" ht="18" customHeight="1"/>
    <row r="36" ht="18" customHeight="1"/>
    <row r="37" ht="18" customHeight="1"/>
    <row r="38" ht="18" customHeight="1"/>
    <row r="39" ht="18" customHeight="1"/>
  </sheetData>
  <mergeCells count="15">
    <mergeCell ref="B13:I13"/>
    <mergeCell ref="B18:I19"/>
    <mergeCell ref="B21:I21"/>
    <mergeCell ref="B22:I23"/>
    <mergeCell ref="B29:I29"/>
    <mergeCell ref="B7:I7"/>
    <mergeCell ref="B25:I25"/>
    <mergeCell ref="B34:I34"/>
    <mergeCell ref="B10:I10"/>
    <mergeCell ref="B3:I3"/>
    <mergeCell ref="B5:I5"/>
    <mergeCell ref="B26:I27"/>
    <mergeCell ref="B14:I15"/>
    <mergeCell ref="B30:I31"/>
    <mergeCell ref="B17:I17"/>
  </mergeCells>
  <pageMargins left="0.75" right="0.75" top="1" bottom="1" header="0.5" footer="0.5"/>
</worksheet>
</file>

<file path=xl/worksheets/sheet2.xml><?xml version="1.0" encoding="utf-8"?>
<worksheet xmlns="http://schemas.openxmlformats.org/spreadsheetml/2006/main">
  <sheetPr>
    <tabColor rgb="000066CC"/>
    <outlinePr summaryBelow="1" summaryRight="1"/>
    <pageSetUpPr/>
  </sheetPr>
  <dimension ref="A1:H35"/>
  <sheetViews>
    <sheetView showGridLines="0" workbookViewId="0">
      <selection activeCell="A1" sqref="A1"/>
    </sheetView>
  </sheetViews>
  <sheetFormatPr baseColWidth="8" defaultRowHeight="15"/>
  <cols>
    <col width="26" customWidth="1" min="1" max="1"/>
    <col width="16" customWidth="1" min="2" max="2"/>
    <col width="16" customWidth="1" min="3" max="3"/>
    <col width="16" customWidth="1" min="4" max="4"/>
    <col width="16" customWidth="1" min="5" max="5"/>
    <col width="16" customWidth="1" min="6" max="6"/>
    <col width="16" customWidth="1" min="7" max="7"/>
    <col width="16" customWidth="1" min="8" max="8"/>
  </cols>
  <sheetData>
    <row r="1" ht="30" customHeight="1">
      <c r="A1" s="9" t="inlineStr">
        <is>
          <t>How To Use This Put Option Calculator</t>
        </is>
      </c>
    </row>
    <row r="2" ht="18" customHeight="1">
      <c r="A2" s="10" t="inlineStr">
        <is>
          <t>Read this sheet first. It explains each tab and each input.</t>
        </is>
      </c>
    </row>
    <row r="4" ht="20" customHeight="1">
      <c r="A4" s="11" t="inlineStr">
        <is>
          <t>Step 1 - Set your contract on the Put Calculator sheet</t>
        </is>
      </c>
    </row>
    <row r="5">
      <c r="A5" s="12" t="inlineStr">
        <is>
          <t>Ticker (C5)</t>
        </is>
      </c>
      <c r="B5" s="13" t="inlineStr">
        <is>
          <t>Type any symbol. In the template workbook every quote follows this cell.</t>
        </is>
      </c>
    </row>
    <row r="6">
      <c r="A6" s="12" t="inlineStr">
        <is>
          <t>Expiry (C7)</t>
        </is>
      </c>
      <c r="B6" s="13" t="inlineStr">
        <is>
          <t>Type the expiration date. The workbook rebuilds the option symbol from it.</t>
        </is>
      </c>
    </row>
    <row r="7">
      <c r="A7" s="12" t="inlineStr">
        <is>
          <t>Strike (C8)</t>
        </is>
      </c>
      <c r="B7" s="13" t="inlineStr">
        <is>
          <t>Type the strike you are analyzing. Breakeven and the Greeks follow this cell.</t>
        </is>
      </c>
    </row>
    <row r="8">
      <c r="A8" s="12" t="inlineStr">
        <is>
          <t>Risk free rate (C9)</t>
        </is>
      </c>
      <c r="B8" s="13" t="inlineStr">
        <is>
          <t>Type the short term Treasury yield as a decimal. 0.04 means 4 percent.</t>
        </is>
      </c>
    </row>
    <row r="9">
      <c r="A9" s="12" t="inlineStr">
        <is>
          <t>Volatility (C11)</t>
        </is>
      </c>
      <c r="B9" s="13" t="inlineStr">
        <is>
          <t>Type an implied volatility as a decimal, or paste the live IV from row 12.</t>
        </is>
      </c>
    </row>
    <row r="10">
      <c r="A10" s="12" t="inlineStr">
        <is>
          <t>Contracts (C13)</t>
        </is>
      </c>
      <c r="B10" s="13" t="inlineStr">
        <is>
          <t>Type how many contracts you are modeling. One contract controls 100 shares.</t>
        </is>
      </c>
    </row>
    <row r="12" ht="20" customHeight="1">
      <c r="A12" s="11" t="inlineStr">
        <is>
          <t>Step 2 - Read each sheet</t>
        </is>
      </c>
    </row>
    <row r="13" ht="26" customHeight="1">
      <c r="A13" s="12" t="inlineStr">
        <is>
          <t>Put Calculator</t>
        </is>
      </c>
      <c r="B13" s="13" t="inlineStr">
        <is>
          <t>The main dashboard. Premium, intrinsic and time value, breakeven, max loss, max profit and the five Greeks.</t>
        </is>
      </c>
    </row>
    <row r="14" ht="26" customHeight="1">
      <c r="A14" s="12" t="inlineStr">
        <is>
          <t>Payoff Scenarios</t>
        </is>
      </c>
      <c r="B14" s="13" t="inlineStr">
        <is>
          <t>Profit and loss across nine underlying moves, both at expiration and halfway to expiration.</t>
        </is>
      </c>
    </row>
    <row r="15" ht="26" customHeight="1">
      <c r="A15" s="12" t="inlineStr">
        <is>
          <t>Strike Ladder</t>
        </is>
      </c>
      <c r="B15" s="13" t="inlineStr">
        <is>
          <t>Every strike in the chain with cost, breakeven, delta, theta, spread width and open interest.</t>
        </is>
      </c>
    </row>
    <row r="16" ht="26" customHeight="1">
      <c r="A16" s="12" t="inlineStr">
        <is>
          <t>Strategy Compare</t>
        </is>
      </c>
      <c r="B16" s="13" t="inlineStr">
        <is>
          <t>Long put against protective put, cash secured put and bear put spread on the same underlying.</t>
        </is>
      </c>
    </row>
    <row r="17" ht="26" customHeight="1">
      <c r="A17" s="12" t="inlineStr">
        <is>
          <t>Position Sizing</t>
        </is>
      </c>
      <c r="B17" s="13" t="inlineStr">
        <is>
          <t>Converts a portfolio value and a risk budget into a contract count.</t>
        </is>
      </c>
    </row>
    <row r="18" ht="26" customHeight="1">
      <c r="A18" s="12" t="inlineStr">
        <is>
          <t>Volatility Compare</t>
        </is>
      </c>
      <c r="B18" s="13" t="inlineStr">
        <is>
          <t>Implied against realized volatility across eight underlyings.</t>
        </is>
      </c>
    </row>
    <row r="20" ht="20" customHeight="1">
      <c r="A20" s="11" t="inlineStr">
        <is>
          <t>Step 3 - Understand the two workbook versions</t>
        </is>
      </c>
    </row>
    <row r="21" ht="26" customHeight="1">
      <c r="A21" s="12" t="inlineStr">
        <is>
          <t>Sample workbook</t>
        </is>
      </c>
      <c r="B21" s="13" t="inlineStr">
        <is>
          <t>Holds static values captured on 2026-08-15. Hover any blue bordered cell to see the MarketXLS formula behind it.</t>
        </is>
      </c>
    </row>
    <row r="22" ht="26" customHeight="1">
      <c r="A22" s="12" t="inlineStr">
        <is>
          <t>Template workbook</t>
        </is>
      </c>
      <c r="B22" s="13" t="inlineStr">
        <is>
          <t>Holds the live MarketXLS formulas. Values refresh whenever Excel recalculates.</t>
        </is>
      </c>
    </row>
    <row r="23" ht="26" customHeight="1">
      <c r="A23" s="12" t="inlineStr">
        <is>
          <t>Requirement</t>
        </is>
      </c>
      <c r="B23" s="13" t="inlineStr">
        <is>
          <t>The template workbook needs the MarketXLS add-in. See https://marketxls.com</t>
        </is>
      </c>
    </row>
    <row r="25" ht="20" customHeight="1">
      <c r="A25" s="14" t="inlineStr">
        <is>
          <t>A note on what a calculator cannot tell you</t>
        </is>
      </c>
    </row>
    <row r="26">
      <c r="A26" s="7" t="inlineStr">
        <is>
          <t>A put option calculator prices a contract and measures its risk. It does not forecast direction and it does not tell you whether a trade is worth taking. Implied volatility is an input you supply, not a prediction the model makes. Treat every output here as analysis, never as advice.</t>
        </is>
      </c>
    </row>
    <row r="27"/>
    <row r="28"/>
    <row r="30">
      <c r="A30" s="15" t="inlineStr">
        <is>
          <t>MarketXLS Functions Used in This Sheet</t>
        </is>
      </c>
    </row>
    <row r="31">
      <c r="A31" s="16">
        <f>Last("AAPL")</f>
        <v/>
      </c>
      <c r="B31" s="17" t="inlineStr">
        <is>
          <t>Current underlying price</t>
        </is>
      </c>
    </row>
    <row r="32">
      <c r="A32" s="16">
        <f>ImpliedVolatility30d("AAPL")</f>
        <v/>
      </c>
      <c r="B32" s="17" t="inlineStr">
        <is>
          <t>30 day implied volatility, returned as a decimal</t>
        </is>
      </c>
    </row>
    <row r="33">
      <c r="A33" s="16">
        <f>OptionSymbol("AAPL","2026-09-18","P",300)</f>
        <v/>
      </c>
      <c r="B33" s="17" t="inlineStr">
        <is>
          <t>Builds the option symbol every contract level function needs</t>
        </is>
      </c>
    </row>
    <row r="35">
      <c r="A35" s="18" t="inlineStr">
        <is>
          <t>Powered by MarketXLS   |   https://marketxls.com   |   Book a demo: https://marketxls.com/book-demo</t>
        </is>
      </c>
    </row>
  </sheetData>
  <mergeCells count="27">
    <mergeCell ref="A30:H30"/>
    <mergeCell ref="B9:H9"/>
    <mergeCell ref="B6:H6"/>
    <mergeCell ref="B15:H15"/>
    <mergeCell ref="B33:H33"/>
    <mergeCell ref="A1:H1"/>
    <mergeCell ref="B5:H5"/>
    <mergeCell ref="B32:H32"/>
    <mergeCell ref="A25:H25"/>
    <mergeCell ref="B16:H16"/>
    <mergeCell ref="B7:H7"/>
    <mergeCell ref="B31:H31"/>
    <mergeCell ref="A12:H12"/>
    <mergeCell ref="B22:H22"/>
    <mergeCell ref="B18:H18"/>
    <mergeCell ref="B21:H21"/>
    <mergeCell ref="A2:H2"/>
    <mergeCell ref="B23:H23"/>
    <mergeCell ref="A4:H4"/>
    <mergeCell ref="B8:H8"/>
    <mergeCell ref="B14:H14"/>
    <mergeCell ref="A26:H28"/>
    <mergeCell ref="B17:H17"/>
    <mergeCell ref="A35:H35"/>
    <mergeCell ref="B13:H13"/>
    <mergeCell ref="A20:H20"/>
    <mergeCell ref="B10:H10"/>
  </mergeCells>
  <pageMargins left="0.75" right="0.75" top="1" bottom="1" header="0.5" footer="0.5"/>
</worksheet>
</file>

<file path=xl/worksheets/sheet3.xml><?xml version="1.0" encoding="utf-8"?>
<worksheet xmlns="http://schemas.openxmlformats.org/spreadsheetml/2006/main">
  <sheetPr>
    <tabColor rgb="000066CC"/>
    <outlinePr summaryBelow="1" summaryRight="1"/>
    <pageSetUpPr/>
  </sheetPr>
  <dimension ref="A1:H60"/>
  <sheetViews>
    <sheetView showGridLines="0" workbookViewId="0">
      <pane ySplit="4" topLeftCell="A5" activePane="bottomLeft" state="frozen"/>
      <selection pane="bottomLeft" activeCell="A1" sqref="A1"/>
    </sheetView>
  </sheetViews>
  <sheetFormatPr baseColWidth="8" defaultRowHeight="15"/>
  <cols>
    <col width="30" customWidth="1" min="1" max="1"/>
    <col width="4" customWidth="1" min="2" max="2"/>
    <col width="18" customWidth="1" min="3" max="3"/>
    <col width="4" customWidth="1" min="4" max="4"/>
    <col width="30" customWidth="1" min="5" max="5"/>
    <col width="18" customWidth="1" min="6" max="6"/>
    <col width="4" customWidth="1" min="7" max="7"/>
    <col width="14" customWidth="1" min="8" max="8"/>
  </cols>
  <sheetData>
    <row r="1" ht="30" customHeight="1">
      <c r="A1" s="9" t="inlineStr">
        <is>
          <t>Put Option Calculator</t>
        </is>
      </c>
    </row>
    <row r="2" ht="18" customHeight="1">
      <c r="A2" s="10" t="inlineStr">
        <is>
          <t>Yellow cells are inputs. Every result below follows them.</t>
        </is>
      </c>
    </row>
    <row r="4" ht="20" customHeight="1">
      <c r="A4" s="11" t="inlineStr">
        <is>
          <t>Contract Inputs</t>
        </is>
      </c>
    </row>
    <row r="5">
      <c r="A5" s="19" t="inlineStr">
        <is>
          <t>Underlying ticker</t>
        </is>
      </c>
      <c r="C5" s="20" t="inlineStr">
        <is>
          <t>AAPL</t>
        </is>
      </c>
      <c r="E5" s="21" t="inlineStr">
        <is>
          <t>Option symbol</t>
        </is>
      </c>
      <c r="F5" s="22" t="inlineStr">
        <is>
          <t>@AAPL  260918P00300000</t>
        </is>
      </c>
    </row>
    <row r="6">
      <c r="A6" s="19" t="inlineStr">
        <is>
          <t>Underlying price (spot)</t>
        </is>
      </c>
      <c r="C6" s="23" t="n">
        <v>305.93</v>
      </c>
      <c r="E6" s="21" t="inlineStr">
        <is>
          <t>Market bid</t>
        </is>
      </c>
      <c r="F6" s="24" t="n">
        <v>5.35</v>
      </c>
    </row>
    <row r="7">
      <c r="A7" s="19" t="inlineStr">
        <is>
          <t>Expiration date</t>
        </is>
      </c>
      <c r="C7" s="25" t="n">
        <v>46283</v>
      </c>
      <c r="E7" s="21" t="inlineStr">
        <is>
          <t>Market ask</t>
        </is>
      </c>
      <c r="F7" s="24" t="n">
        <v>5.55</v>
      </c>
    </row>
    <row r="8">
      <c r="A8" s="19" t="inlineStr">
        <is>
          <t>Strike price</t>
        </is>
      </c>
      <c r="C8" s="26" t="n">
        <v>300</v>
      </c>
      <c r="E8" s="21" t="inlineStr">
        <is>
          <t>Market mid price</t>
        </is>
      </c>
      <c r="F8" s="24">
        <f>($F$6+$F$7)/2</f>
        <v/>
      </c>
    </row>
    <row r="9">
      <c r="A9" s="19" t="inlineStr">
        <is>
          <t>Risk free rate</t>
        </is>
      </c>
      <c r="C9" s="27" t="n">
        <v>0.04</v>
      </c>
      <c r="E9" s="21" t="inlineStr">
        <is>
          <t>Bid ask spread, percent of mid</t>
        </is>
      </c>
      <c r="F9" s="28">
        <f>($F$7-$F$6)/$F$8</f>
        <v/>
      </c>
    </row>
    <row r="10">
      <c r="A10" s="19" t="inlineStr">
        <is>
          <t>Dividend yield</t>
        </is>
      </c>
      <c r="C10" s="29" t="n">
        <v>0.0035</v>
      </c>
      <c r="E10" s="21" t="inlineStr">
        <is>
          <t>Open interest</t>
        </is>
      </c>
      <c r="F10" s="30" t="n">
        <v>24216</v>
      </c>
    </row>
    <row r="11">
      <c r="A11" s="19" t="inlineStr">
        <is>
          <t>Volatility used in the model</t>
        </is>
      </c>
      <c r="C11" s="27" t="n">
        <v>0.2185</v>
      </c>
      <c r="E11" s="21" t="inlineStr">
        <is>
          <t>Implied volatility of this contract</t>
        </is>
      </c>
      <c r="F11" s="31" t="n">
        <v>0.2302337797501447</v>
      </c>
    </row>
    <row r="12">
      <c r="A12" s="19" t="inlineStr">
        <is>
          <t>Live 30 day implied volatility</t>
        </is>
      </c>
      <c r="C12" s="29" t="n">
        <v>0.2185</v>
      </c>
      <c r="E12" s="21" t="inlineStr">
        <is>
          <t>Put call open interest ratio</t>
        </is>
      </c>
      <c r="F12" s="32" t="n">
        <v>0.7670029374557773</v>
      </c>
    </row>
    <row r="13">
      <c r="A13" s="19" t="inlineStr">
        <is>
          <t>Contracts</t>
        </is>
      </c>
      <c r="C13" s="33" t="n">
        <v>1</v>
      </c>
      <c r="E13" s="21" t="inlineStr">
        <is>
          <t>Put call volume ratio</t>
        </is>
      </c>
      <c r="F13" s="32" t="n">
        <v>0.4074314808796447</v>
      </c>
    </row>
    <row r="14">
      <c r="A14" s="19" t="inlineStr">
        <is>
          <t>Days to expiration</t>
        </is>
      </c>
      <c r="C14" s="34" t="n">
        <v>34</v>
      </c>
      <c r="E14" s="21" t="inlineStr">
        <is>
          <t>Next earnings date</t>
        </is>
      </c>
      <c r="F14" s="22" t="inlineStr">
        <is>
          <t>2026-10-29</t>
        </is>
      </c>
    </row>
    <row r="15">
      <c r="A15" s="19" t="inlineStr">
        <is>
          <t>Time to expiration (years)</t>
        </is>
      </c>
      <c r="C15" s="35">
        <f>$C$14/365</f>
        <v/>
      </c>
    </row>
    <row r="17" ht="20" customHeight="1">
      <c r="A17" s="11" t="inlineStr">
        <is>
          <t>Black-Scholes Working (the model behind the price)</t>
        </is>
      </c>
    </row>
    <row r="18">
      <c r="A18" s="19" t="inlineStr">
        <is>
          <t>d1</t>
        </is>
      </c>
      <c r="C18" s="36">
        <f>(LN($C$6/$C$8)+($C$9-$C$10+$C$11^2/2)*$C$15)/($C$11*SQRT($C$15))</f>
        <v/>
      </c>
      <c r="E18" s="21" t="inlineStr">
        <is>
          <t>Theoretical put value</t>
        </is>
      </c>
      <c r="F18" s="37">
        <f>$C$8*EXP(-$C$9*$C$15)*$C$21-$C$6*EXP(-$C$10*$C$15)*$C$20</f>
        <v/>
      </c>
    </row>
    <row r="19">
      <c r="A19" s="19" t="inlineStr">
        <is>
          <t>d2</t>
        </is>
      </c>
      <c r="C19" s="36">
        <f>$C$18-$C$11*SQRT($C$15)</f>
        <v/>
      </c>
      <c r="E19" s="21" t="inlineStr">
        <is>
          <t>Model value against market mid</t>
        </is>
      </c>
      <c r="F19" s="38">
        <f>$F$18-$F$8</f>
        <v/>
      </c>
    </row>
    <row r="20">
      <c r="A20" s="19" t="inlineStr">
        <is>
          <t>N(-d1)</t>
        </is>
      </c>
      <c r="C20" s="36">
        <f>NORMSDIST(-$C$18)</f>
        <v/>
      </c>
      <c r="E20" s="21" t="inlineStr">
        <is>
          <t>Chance of finishing in the money</t>
        </is>
      </c>
      <c r="F20" s="39">
        <f>NORMSDIST(-$C$19)</f>
        <v/>
      </c>
    </row>
    <row r="21">
      <c r="A21" s="19" t="inlineStr">
        <is>
          <t>N(-d2)</t>
        </is>
      </c>
      <c r="C21" s="36">
        <f>NORMSDIST(-$C$19)</f>
        <v/>
      </c>
      <c r="E21" s="21" t="inlineStr">
        <is>
          <t>Note</t>
        </is>
      </c>
      <c r="F21" s="40" t="inlineStr">
        <is>
          <t>Risk neutral, not a forecast</t>
        </is>
      </c>
    </row>
    <row r="23" ht="20" customHeight="1">
      <c r="A23" s="41" t="inlineStr">
        <is>
          <t>Position Economics</t>
        </is>
      </c>
    </row>
    <row r="24">
      <c r="A24" s="13" t="inlineStr">
        <is>
          <t>Premium paid per share</t>
        </is>
      </c>
      <c r="C24" s="24">
        <f>$F$8</f>
        <v/>
      </c>
      <c r="E24" s="42" t="inlineStr">
        <is>
          <t>Max profit assumes the underlying goes to zero</t>
        </is>
      </c>
    </row>
    <row r="25">
      <c r="A25" s="13" t="inlineStr">
        <is>
          <t>Premium paid per contract</t>
        </is>
      </c>
      <c r="C25" s="24">
        <f>$F$8*100</f>
        <v/>
      </c>
      <c r="E25" s="42" t="inlineStr">
        <is>
          <t>Max loss on a long put is the premium, nothing more</t>
        </is>
      </c>
    </row>
    <row r="26">
      <c r="A26" s="13" t="inlineStr">
        <is>
          <t>Total cost of position</t>
        </is>
      </c>
      <c r="C26" s="24">
        <f>$F$8*100*$C$13</f>
        <v/>
      </c>
      <c r="E26" s="42" t="inlineStr">
        <is>
          <t>A short put reverses both figures and adds assignment risk</t>
        </is>
      </c>
    </row>
    <row r="27">
      <c r="A27" s="13" t="inlineStr">
        <is>
          <t>Intrinsic value</t>
        </is>
      </c>
      <c r="C27" s="24">
        <f>MAX($C$8-$C$6,0)</f>
        <v/>
      </c>
    </row>
    <row r="28">
      <c r="A28" s="13" t="inlineStr">
        <is>
          <t>Time value</t>
        </is>
      </c>
      <c r="C28" s="24">
        <f>$F$8-MAX($C$8-$C$6,0)</f>
        <v/>
      </c>
    </row>
    <row r="29">
      <c r="A29" s="13" t="inlineStr">
        <is>
          <t>Breakeven at expiration</t>
        </is>
      </c>
      <c r="C29" s="24">
        <f>$C$8-$F$8</f>
        <v/>
      </c>
    </row>
    <row r="30">
      <c r="A30" s="13" t="inlineStr">
        <is>
          <t>Move required to breakeven</t>
        </is>
      </c>
      <c r="C30" s="31">
        <f>($C$8-$F$8)/$C$6-1</f>
        <v/>
      </c>
    </row>
    <row r="31">
      <c r="A31" s="13" t="inlineStr">
        <is>
          <t>Maximum loss</t>
        </is>
      </c>
      <c r="C31" s="24">
        <f>$F$8*100*$C$13</f>
        <v/>
      </c>
    </row>
    <row r="32">
      <c r="A32" s="13" t="inlineStr">
        <is>
          <t>Maximum profit</t>
        </is>
      </c>
      <c r="C32" s="24">
        <f>($C$8-$F$8)*100*$C$13</f>
        <v/>
      </c>
    </row>
    <row r="34" ht="20" customHeight="1">
      <c r="A34" s="14" t="inlineStr">
        <is>
          <t>The Greeks</t>
        </is>
      </c>
    </row>
    <row r="35" ht="28" customHeight="1">
      <c r="A35" s="43" t="inlineStr">
        <is>
          <t>Greek</t>
        </is>
      </c>
      <c r="B35" s="43" t="inlineStr"/>
      <c r="C35" s="43" t="inlineStr">
        <is>
          <t>Value</t>
        </is>
      </c>
      <c r="D35" s="43" t="inlineStr"/>
      <c r="E35" s="43" t="inlineStr">
        <is>
          <t>What it measures</t>
        </is>
      </c>
      <c r="F35" s="43" t="inlineStr">
        <is>
          <t>Per contract</t>
        </is>
      </c>
      <c r="G35" s="43" t="inlineStr"/>
      <c r="H35" s="43" t="inlineStr"/>
    </row>
    <row r="36" ht="22" customHeight="1">
      <c r="A36" s="12" t="inlineStr">
        <is>
          <t>Delta</t>
        </is>
      </c>
      <c r="C36" s="44" t="n">
        <v>-0.3526583530623497</v>
      </c>
      <c r="E36" s="45" t="inlineStr">
        <is>
          <t>Dollar change in the put for a $1 rise in the underlying</t>
        </is>
      </c>
      <c r="F36" s="24">
        <f>$C$36*100*$C$13</f>
        <v/>
      </c>
    </row>
    <row r="37" ht="22" customHeight="1">
      <c r="A37" s="12" t="inlineStr">
        <is>
          <t>Gamma</t>
        </is>
      </c>
      <c r="C37" s="46" t="n">
        <v>0.01820122942869038</v>
      </c>
      <c r="E37" s="45" t="inlineStr">
        <is>
          <t>Change in delta for a $1 rise in the underlying</t>
        </is>
      </c>
      <c r="F37" s="44">
        <f>$C$37*100*$C$13</f>
        <v/>
      </c>
    </row>
    <row r="38" ht="22" customHeight="1">
      <c r="A38" s="12" t="inlineStr">
        <is>
          <t>Theta</t>
        </is>
      </c>
      <c r="C38" s="44" t="n">
        <v>-0.1000687623709</v>
      </c>
      <c r="E38" s="45" t="inlineStr">
        <is>
          <t>Value lost each calendar day if nothing else changes</t>
        </is>
      </c>
      <c r="F38" s="24">
        <f>$C$38*100*$C$13</f>
        <v/>
      </c>
    </row>
    <row r="39" ht="22" customHeight="1">
      <c r="A39" s="12" t="inlineStr">
        <is>
          <t>Vega</t>
        </is>
      </c>
      <c r="C39" s="44" t="n">
        <v>0.3467227602024024</v>
      </c>
      <c r="E39" s="45" t="inlineStr">
        <is>
          <t>Value gained for a one point rise in implied volatility</t>
        </is>
      </c>
      <c r="F39" s="24">
        <f>$C$39*100*$C$13</f>
        <v/>
      </c>
    </row>
    <row r="40" ht="22" customHeight="1">
      <c r="A40" s="12" t="inlineStr">
        <is>
          <t>Rho</t>
        </is>
      </c>
      <c r="C40" s="44" t="n">
        <v>-0.1051957323654574</v>
      </c>
      <c r="E40" s="45" t="inlineStr">
        <is>
          <t>Value change for a one point rise in the risk free rate</t>
        </is>
      </c>
      <c r="F40" s="24">
        <f>$C$40*100*$C$13</f>
        <v/>
      </c>
    </row>
    <row r="42" ht="20" customHeight="1">
      <c r="A42" s="11" t="inlineStr">
        <is>
          <t>Reading these numbers</t>
        </is>
      </c>
    </row>
    <row r="43">
      <c r="A43" s="13" t="inlineStr">
        <is>
          <t>Delta on a long put is negative, so the contract gains as the underlying falls. Theta is negative too, so the position loses value every day the underlying sits still. Those two numbers pull against each other and they are the whole trade off in a long put. Vega tells you how much of the premium is a bet on volatility rather than direction.</t>
        </is>
      </c>
    </row>
    <row r="44"/>
    <row r="45"/>
    <row r="47">
      <c r="A47" s="15" t="inlineStr">
        <is>
          <t>MarketXLS Functions Used in This Sheet</t>
        </is>
      </c>
    </row>
    <row r="48">
      <c r="A48" s="16">
        <f>Last("AAPL")</f>
        <v/>
      </c>
      <c r="B48" s="17" t="inlineStr">
        <is>
          <t>Underlying price</t>
        </is>
      </c>
    </row>
    <row r="49">
      <c r="A49" s="16">
        <f>DividendYield("AAPL")</f>
        <v/>
      </c>
      <c r="B49" s="17" t="inlineStr">
        <is>
          <t>Dividend yield, decimal</t>
        </is>
      </c>
    </row>
    <row r="50">
      <c r="A50" s="16">
        <f>ImpliedVolatility30d("AAPL")</f>
        <v/>
      </c>
      <c r="B50" s="17" t="inlineStr">
        <is>
          <t>30 day implied volatility, decimal</t>
        </is>
      </c>
    </row>
    <row r="51">
      <c r="A51" s="16">
        <f>OptionSymbol("AAPL","2026-09-18","P",300)</f>
        <v/>
      </c>
      <c r="B51" s="17" t="inlineStr">
        <is>
          <t>Builds the contract symbol</t>
        </is>
      </c>
    </row>
    <row r="52">
      <c r="A52" s="16">
        <f>Bid(sym) / =Ask(sym)</f>
        <v/>
      </c>
      <c r="B52" s="17" t="inlineStr">
        <is>
          <t>Live bid and ask for the contract</t>
        </is>
      </c>
    </row>
    <row r="53">
      <c r="A53" s="16">
        <f>QM_OpenInterest(sym)</f>
        <v/>
      </c>
      <c r="B53" s="17" t="inlineStr">
        <is>
          <t>Open interest for the contract</t>
        </is>
      </c>
    </row>
    <row r="54">
      <c r="A54" s="16">
        <f>OPT_DaysToExpiration(sym)</f>
        <v/>
      </c>
      <c r="B54" s="17" t="inlineStr">
        <is>
          <t>Calendar days left</t>
        </is>
      </c>
    </row>
    <row r="55">
      <c r="A55" s="16">
        <f>opt_Delta(S,price,expiry,"P",K,rate,divYld,sigma)</f>
        <v/>
      </c>
      <c r="B55" s="17" t="inlineStr">
        <is>
          <t>Delta, and the same shape for Gamma, Theta, Vega, Rho</t>
        </is>
      </c>
    </row>
    <row r="56">
      <c r="A56" s="16">
        <f>opt_ImpliedVolatility(S,price,expiry,"P",K,rate,divYld)</f>
        <v/>
      </c>
      <c r="B56" s="17" t="inlineStr">
        <is>
          <t>Implied volatility solved from the market price</t>
        </is>
      </c>
    </row>
    <row r="57">
      <c r="A57" s="16">
        <f>opt_PutCallOIRatio("AAPL")</f>
        <v/>
      </c>
      <c r="B57" s="17" t="inlineStr">
        <is>
          <t>Put call open interest ratio</t>
        </is>
      </c>
    </row>
    <row r="58">
      <c r="A58" s="16">
        <f>earnings_date("AAPL")</f>
        <v/>
      </c>
      <c r="B58" s="17" t="inlineStr">
        <is>
          <t>Next earnings date</t>
        </is>
      </c>
    </row>
    <row r="60">
      <c r="A60" s="18" t="inlineStr">
        <is>
          <t>Powered by MarketXLS   |   https://marketxls.com   |   Book a demo: https://marketxls.com/book-demo</t>
        </is>
      </c>
    </row>
  </sheetData>
  <mergeCells count="24">
    <mergeCell ref="A43:H45"/>
    <mergeCell ref="E26:H26"/>
    <mergeCell ref="B49:H49"/>
    <mergeCell ref="B55:H55"/>
    <mergeCell ref="A60:H60"/>
    <mergeCell ref="E25:H25"/>
    <mergeCell ref="A1:H1"/>
    <mergeCell ref="B51:H51"/>
    <mergeCell ref="B50:H50"/>
    <mergeCell ref="B54:H54"/>
    <mergeCell ref="E24:H24"/>
    <mergeCell ref="B56:H56"/>
    <mergeCell ref="B58:H58"/>
    <mergeCell ref="B52:H52"/>
    <mergeCell ref="A2:H2"/>
    <mergeCell ref="A42:H42"/>
    <mergeCell ref="B48:H48"/>
    <mergeCell ref="A47:H47"/>
    <mergeCell ref="A23:H23"/>
    <mergeCell ref="A17:H17"/>
    <mergeCell ref="A4:H4"/>
    <mergeCell ref="B57:H57"/>
    <mergeCell ref="B53:H53"/>
    <mergeCell ref="A34:H34"/>
  </mergeCell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tabColor rgb="002A9D8F"/>
    <outlinePr summaryBelow="1" summaryRight="1"/>
    <pageSetUpPr/>
  </sheetPr>
  <dimension ref="A1:H30"/>
  <sheetViews>
    <sheetView showGridLines="0" workbookViewId="0">
      <pane ySplit="4" topLeftCell="A5" activePane="bottomLeft" state="frozen"/>
      <selection pane="bottomLeft" activeCell="A1" sqref="A1"/>
    </sheetView>
  </sheetViews>
  <sheetFormatPr baseColWidth="8" defaultRowHeight="15"/>
  <cols>
    <col width="18" customWidth="1" min="1" max="1"/>
    <col width="16" customWidth="1" min="2" max="2"/>
    <col width="17" customWidth="1" min="3" max="3"/>
    <col width="15" customWidth="1" min="4" max="4"/>
    <col width="15" customWidth="1" min="5" max="5"/>
    <col width="18" customWidth="1" min="6" max="6"/>
    <col width="16" customWidth="1" min="7" max="7"/>
    <col width="26" customWidth="1" min="8" max="8"/>
  </cols>
  <sheetData>
    <row r="1" ht="30" customHeight="1">
      <c r="A1" s="9" t="inlineStr">
        <is>
          <t>Payoff Scenarios</t>
        </is>
      </c>
    </row>
    <row r="2" ht="18" customHeight="1">
      <c r="A2" s="10" t="inlineStr">
        <is>
          <t>One long AAPL $300 put bought at $5.45. Every row follows the inputs on the Put Calculator sheet.</t>
        </is>
      </c>
    </row>
    <row r="4" ht="28" customHeight="1">
      <c r="A4" s="43" t="inlineStr">
        <is>
          <t>Move in underlying</t>
        </is>
      </c>
      <c r="B4" s="43" t="inlineStr">
        <is>
          <t>Underlying price</t>
        </is>
      </c>
      <c r="C4" s="43" t="inlineStr">
        <is>
          <t>Put value at expiry</t>
        </is>
      </c>
      <c r="D4" s="43" t="inlineStr">
        <is>
          <t>P/L at expiry</t>
        </is>
      </c>
      <c r="E4" s="43" t="inlineStr">
        <is>
          <t>Return on premium</t>
        </is>
      </c>
      <c r="F4" s="43" t="inlineStr">
        <is>
          <t>Put value at day 17</t>
        </is>
      </c>
      <c r="G4" s="43" t="inlineStr">
        <is>
          <t>P/L at day 17</t>
        </is>
      </c>
      <c r="H4" s="43" t="inlineStr">
        <is>
          <t>Outcome</t>
        </is>
      </c>
    </row>
    <row r="5">
      <c r="A5" s="47" t="n">
        <v>-0.2</v>
      </c>
      <c r="B5" s="24" t="n">
        <v>244.744</v>
      </c>
      <c r="C5" s="24" t="n">
        <v>55.25599999999997</v>
      </c>
      <c r="D5" s="48" t="n">
        <v>4980.599999999997</v>
      </c>
      <c r="E5" s="49" t="n">
        <v>9.13871559633027</v>
      </c>
      <c r="F5" s="24" t="n">
        <v>54.73753487319794</v>
      </c>
      <c r="G5" s="50" t="n">
        <v>4928.753487319794</v>
      </c>
      <c r="H5" s="51" t="inlineStr">
        <is>
          <t>Below breakeven, put is profitable</t>
        </is>
      </c>
    </row>
    <row r="6">
      <c r="A6" s="52" t="n">
        <v>-0.15</v>
      </c>
      <c r="B6" s="53" t="n">
        <v>260.0405</v>
      </c>
      <c r="C6" s="53" t="n">
        <v>39.95949999999999</v>
      </c>
      <c r="D6" s="48" t="n">
        <v>3450.949999999999</v>
      </c>
      <c r="E6" s="54" t="n">
        <v>6.332018348623851</v>
      </c>
      <c r="F6" s="53" t="n">
        <v>39.44861351604771</v>
      </c>
      <c r="G6" s="55" t="n">
        <v>3399.861351604771</v>
      </c>
      <c r="H6" s="56" t="inlineStr">
        <is>
          <t>Below breakeven, put is profitable</t>
        </is>
      </c>
    </row>
    <row r="7">
      <c r="A7" s="47" t="n">
        <v>-0.1</v>
      </c>
      <c r="B7" s="24" t="n">
        <v>275.337</v>
      </c>
      <c r="C7" s="24" t="n">
        <v>24.66300000000001</v>
      </c>
      <c r="D7" s="48" t="n">
        <v>1921.300000000001</v>
      </c>
      <c r="E7" s="49" t="n">
        <v>3.525321100917433</v>
      </c>
      <c r="F7" s="24" t="n">
        <v>24.35105857204496</v>
      </c>
      <c r="G7" s="50" t="n">
        <v>1890.105857204496</v>
      </c>
      <c r="H7" s="51" t="inlineStr">
        <is>
          <t>Below breakeven, put is profitable</t>
        </is>
      </c>
    </row>
    <row r="8">
      <c r="A8" s="52" t="n">
        <v>-0.05</v>
      </c>
      <c r="B8" s="53" t="n">
        <v>290.6335</v>
      </c>
      <c r="C8" s="53" t="n">
        <v>9.36650000000003</v>
      </c>
      <c r="D8" s="48" t="n">
        <v>391.650000000003</v>
      </c>
      <c r="E8" s="54" t="n">
        <v>0.7186238532110147</v>
      </c>
      <c r="F8" s="53" t="n">
        <v>11.06479150704826</v>
      </c>
      <c r="G8" s="55" t="n">
        <v>561.4791507048255</v>
      </c>
      <c r="H8" s="56" t="inlineStr">
        <is>
          <t>Below breakeven, put is profitable</t>
        </is>
      </c>
    </row>
    <row r="9">
      <c r="A9" s="47" t="n">
        <v>-0.02</v>
      </c>
      <c r="B9" s="24" t="n">
        <v>299.8114</v>
      </c>
      <c r="C9" s="24" t="n">
        <v>0.1886000000000081</v>
      </c>
      <c r="D9" s="57" t="n">
        <v>-526.1399999999992</v>
      </c>
      <c r="E9" s="49" t="n">
        <v>-0.9653944954128425</v>
      </c>
      <c r="F9" s="24" t="n">
        <v>5.476647690182801</v>
      </c>
      <c r="G9" s="50" t="n">
        <v>2.664769018280122</v>
      </c>
      <c r="H9" s="51" t="inlineStr">
        <is>
          <t>In the money but under breakeven</t>
        </is>
      </c>
    </row>
    <row r="10">
      <c r="A10" s="52" t="n">
        <v>0</v>
      </c>
      <c r="B10" s="53" t="n">
        <v>305.93</v>
      </c>
      <c r="C10" s="53" t="n">
        <v>0</v>
      </c>
      <c r="D10" s="57" t="n">
        <v>-545</v>
      </c>
      <c r="E10" s="54" t="n">
        <v>-1</v>
      </c>
      <c r="F10" s="53" t="n">
        <v>3.043540897579177</v>
      </c>
      <c r="G10" s="55" t="n">
        <v>-240.6459102420823</v>
      </c>
      <c r="H10" s="56" t="inlineStr">
        <is>
          <t>Unchanged, time value decays</t>
        </is>
      </c>
    </row>
    <row r="11">
      <c r="A11" s="47" t="n">
        <v>0.02</v>
      </c>
      <c r="B11" s="24" t="n">
        <v>312.0486</v>
      </c>
      <c r="C11" s="24" t="n">
        <v>0</v>
      </c>
      <c r="D11" s="57" t="n">
        <v>-545</v>
      </c>
      <c r="E11" s="49" t="n">
        <v>-1</v>
      </c>
      <c r="F11" s="24" t="n">
        <v>1.525588162206247</v>
      </c>
      <c r="G11" s="50" t="n">
        <v>-392.4411837793753</v>
      </c>
      <c r="H11" s="51" t="inlineStr">
        <is>
          <t>Expires worthless, premium is lost</t>
        </is>
      </c>
    </row>
    <row r="12">
      <c r="A12" s="52" t="n">
        <v>0.05</v>
      </c>
      <c r="B12" s="53" t="n">
        <v>321.2265</v>
      </c>
      <c r="C12" s="53" t="n">
        <v>0</v>
      </c>
      <c r="D12" s="57" t="n">
        <v>-545</v>
      </c>
      <c r="E12" s="54" t="n">
        <v>-1</v>
      </c>
      <c r="F12" s="53" t="n">
        <v>0.4425311849909086</v>
      </c>
      <c r="G12" s="55" t="n">
        <v>-500.7468815009092</v>
      </c>
      <c r="H12" s="56" t="inlineStr">
        <is>
          <t>Expires worthless, premium is lost</t>
        </is>
      </c>
    </row>
    <row r="13">
      <c r="A13" s="47" t="n">
        <v>0.1</v>
      </c>
      <c r="B13" s="24" t="n">
        <v>336.523</v>
      </c>
      <c r="C13" s="24" t="n">
        <v>0</v>
      </c>
      <c r="D13" s="57" t="n">
        <v>-545</v>
      </c>
      <c r="E13" s="49" t="n">
        <v>-1</v>
      </c>
      <c r="F13" s="24" t="n">
        <v>0.03266274131848723</v>
      </c>
      <c r="G13" s="50" t="n">
        <v>-541.7337258681514</v>
      </c>
      <c r="H13" s="51" t="inlineStr">
        <is>
          <t>Expires worthless, premium is lost</t>
        </is>
      </c>
    </row>
    <row r="15" ht="20" customHeight="1">
      <c r="A15" s="11" t="inlineStr">
        <is>
          <t>Reference points</t>
        </is>
      </c>
    </row>
    <row r="16">
      <c r="A16" s="12" t="inlineStr">
        <is>
          <t>Breakeven at expiration</t>
        </is>
      </c>
      <c r="B16" s="58" t="inlineStr">
        <is>
          <t>$294.55</t>
        </is>
      </c>
      <c r="C16" s="17" t="inlineStr">
        <is>
          <t>The underlying must close below this, 3.72 percent under spot.</t>
        </is>
      </c>
    </row>
    <row r="17">
      <c r="A17" s="12" t="inlineStr">
        <is>
          <t>Maximum loss</t>
        </is>
      </c>
      <c r="B17" s="58" t="inlineStr">
        <is>
          <t>$545</t>
        </is>
      </c>
      <c r="C17" s="17" t="inlineStr">
        <is>
          <t>Reached at any close at or above the strike.</t>
        </is>
      </c>
    </row>
    <row r="18">
      <c r="A18" s="12" t="inlineStr">
        <is>
          <t>Maximum profit</t>
        </is>
      </c>
      <c r="B18" s="58" t="inlineStr">
        <is>
          <t>$29,455</t>
        </is>
      </c>
      <c r="C18" s="17" t="inlineStr">
        <is>
          <t>Only if the underlying goes to zero, which is a boundary, not an expectation.</t>
        </is>
      </c>
    </row>
    <row r="19">
      <c r="A19" s="12" t="inlineStr">
        <is>
          <t>Premium split</t>
        </is>
      </c>
      <c r="B19" s="58" t="inlineStr">
        <is>
          <t>$0.00 intrinsic / $5.45 time value</t>
        </is>
      </c>
      <c r="C19" s="17" t="inlineStr">
        <is>
          <t>This contract is entirely time value, so every day works against the holder.</t>
        </is>
      </c>
    </row>
    <row r="21" ht="20" customHeight="1">
      <c r="A21" s="14" t="inlineStr">
        <is>
          <t>Why the two profit and loss columns differ</t>
        </is>
      </c>
    </row>
    <row r="22">
      <c r="A22" s="13" t="inlineStr">
        <is>
          <t>The expiry column is the payoff diagram every textbook draws. The day 17 column is what you would actually see in the account halfway through the trade. A long put still holds time value before expiration, so a moderate drop pays more mid life than the expiry line suggests, while an unchanged underlying has already surrendered part of the premium. The expiry line is the floor for time value, not the base case.</t>
        </is>
      </c>
    </row>
    <row r="23"/>
    <row r="24"/>
    <row r="26">
      <c r="A26" s="15" t="inlineStr">
        <is>
          <t>MarketXLS Functions Used in This Sheet</t>
        </is>
      </c>
    </row>
    <row r="27">
      <c r="A27" s="16">
        <f>Last("AAPL")</f>
        <v/>
      </c>
      <c r="B27" s="17" t="inlineStr">
        <is>
          <t>Underlying price that anchors every scenario</t>
        </is>
      </c>
    </row>
    <row r="28">
      <c r="A28" s="16">
        <f>opt_Theta(S,price,expiry,"P",K,rate,divYld,sigma)</f>
        <v/>
      </c>
      <c r="B28" s="17" t="inlineStr">
        <is>
          <t>Daily decay that drives the mid life column</t>
        </is>
      </c>
    </row>
    <row r="30">
      <c r="A30" s="18" t="inlineStr">
        <is>
          <t>Powered by MarketXLS   |   https://marketxls.com   |   Book a demo: https://marketxls.com/book-demo</t>
        </is>
      </c>
    </row>
  </sheetData>
  <mergeCells count="13">
    <mergeCell ref="A1:H1"/>
    <mergeCell ref="A26:H26"/>
    <mergeCell ref="C16:H16"/>
    <mergeCell ref="C19:H19"/>
    <mergeCell ref="A21:H21"/>
    <mergeCell ref="A15:H15"/>
    <mergeCell ref="B27:H27"/>
    <mergeCell ref="A30:H30"/>
    <mergeCell ref="A2:H2"/>
    <mergeCell ref="C18:H18"/>
    <mergeCell ref="A22:H24"/>
    <mergeCell ref="C17:H17"/>
    <mergeCell ref="B28:H28"/>
  </mergeCells>
  <pageMargins left="0.75" right="0.75" top="1" bottom="1" header="0.5" footer="0.5"/>
</worksheet>
</file>

<file path=xl/worksheets/sheet5.xml><?xml version="1.0" encoding="utf-8"?>
<worksheet xmlns="http://schemas.openxmlformats.org/spreadsheetml/2006/main">
  <sheetPr>
    <tabColor rgb="000066CC"/>
    <outlinePr summaryBelow="1" summaryRight="1"/>
    <pageSetUpPr/>
  </sheetPr>
  <dimension ref="A1:M3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10" customWidth="1" min="1" max="1"/>
    <col width="12" customWidth="1" min="2" max="2"/>
    <col width="9" customWidth="1" min="3" max="3"/>
    <col width="9" customWidth="1" min="4" max="4"/>
    <col width="9" customWidth="1" min="5" max="5"/>
    <col width="10" customWidth="1" min="6" max="6"/>
    <col width="15" customWidth="1" min="7" max="7"/>
    <col width="11" customWidth="1" min="8" max="8"/>
    <col width="15" customWidth="1" min="9" max="9"/>
    <col width="10" customWidth="1" min="10" max="10"/>
    <col width="11" customWidth="1" min="11" max="11"/>
    <col width="14" customWidth="1" min="12" max="12"/>
    <col width="13" customWidth="1" min="13" max="13"/>
  </cols>
  <sheetData>
    <row r="1" ht="30" customHeight="1">
      <c r="A1" s="9" t="inlineStr">
        <is>
          <t>Strike Ladder</t>
        </is>
      </c>
    </row>
    <row r="2" ht="18" customHeight="1">
      <c r="A2" s="10" t="inlineStr">
        <is>
          <t>Live AAPL put chain for Sep 18, 2026, underlying at $305.93. Compare cost against breakeven and decay before you pick a strike.</t>
        </is>
      </c>
    </row>
    <row r="4" ht="28" customHeight="1">
      <c r="A4" s="43" t="inlineStr">
        <is>
          <t>Strike</t>
        </is>
      </c>
      <c r="B4" s="43" t="inlineStr">
        <is>
          <t>Moneyness</t>
        </is>
      </c>
      <c r="C4" s="43" t="inlineStr">
        <is>
          <t>Bid</t>
        </is>
      </c>
      <c r="D4" s="43" t="inlineStr">
        <is>
          <t>Ask</t>
        </is>
      </c>
      <c r="E4" s="43" t="inlineStr">
        <is>
          <t>Mid</t>
        </is>
      </c>
      <c r="F4" s="43" t="inlineStr">
        <is>
          <t>Spread %</t>
        </is>
      </c>
      <c r="G4" s="43" t="inlineStr">
        <is>
          <t>Cost per contract</t>
        </is>
      </c>
      <c r="H4" s="43" t="inlineStr">
        <is>
          <t>Breakeven</t>
        </is>
      </c>
      <c r="I4" s="43" t="inlineStr">
        <is>
          <t>Move to breakeven</t>
        </is>
      </c>
      <c r="J4" s="43" t="inlineStr">
        <is>
          <t>Delta</t>
        </is>
      </c>
      <c r="K4" s="43" t="inlineStr">
        <is>
          <t>Theta / day</t>
        </is>
      </c>
      <c r="L4" s="43" t="inlineStr">
        <is>
          <t>Theta % of premium</t>
        </is>
      </c>
      <c r="M4" s="43" t="inlineStr">
        <is>
          <t>Open interest</t>
        </is>
      </c>
    </row>
    <row r="5">
      <c r="A5" s="59" t="n">
        <v>265</v>
      </c>
      <c r="B5" s="60" t="n">
        <v>-0.1337887752100154</v>
      </c>
      <c r="C5" s="61" t="n">
        <v>0.43</v>
      </c>
      <c r="D5" s="61" t="n">
        <v>0.47</v>
      </c>
      <c r="E5" s="61" t="n">
        <v>0.45</v>
      </c>
      <c r="F5" s="62" t="n">
        <v>0.08888888888888885</v>
      </c>
      <c r="G5" s="59" t="n">
        <v>44.99999999999999</v>
      </c>
      <c r="H5" s="61" t="n">
        <v>264.55</v>
      </c>
      <c r="I5" s="60" t="n">
        <v>-0.1352596999313568</v>
      </c>
      <c r="J5" s="63" t="n">
        <v>-0.03710172739862349</v>
      </c>
      <c r="K5" s="64" t="n">
        <v>-0.02957782996750841</v>
      </c>
      <c r="L5" s="62" t="n">
        <v>-0.06572851103890759</v>
      </c>
      <c r="M5" s="65" t="n">
        <v>8734</v>
      </c>
    </row>
    <row r="6">
      <c r="A6" s="66" t="n">
        <v>270</v>
      </c>
      <c r="B6" s="67" t="n">
        <v>-0.11744516719511</v>
      </c>
      <c r="C6" s="68" t="n">
        <v>0.59</v>
      </c>
      <c r="D6" s="68" t="n">
        <v>0.63</v>
      </c>
      <c r="E6" s="68" t="n">
        <v>0.61</v>
      </c>
      <c r="F6" s="69" t="n">
        <v>0.06557377049180334</v>
      </c>
      <c r="G6" s="66" t="n">
        <v>61</v>
      </c>
      <c r="H6" s="68" t="n">
        <v>269.39</v>
      </c>
      <c r="I6" s="67" t="n">
        <v>-0.1194390873729285</v>
      </c>
      <c r="J6" s="70" t="n">
        <v>-0.0504137351133178</v>
      </c>
      <c r="K6" s="71" t="n">
        <v>-0.03584511251406292</v>
      </c>
      <c r="L6" s="69" t="n">
        <v>-0.05876247953125068</v>
      </c>
      <c r="M6" s="72" t="n">
        <v>11974</v>
      </c>
    </row>
    <row r="7">
      <c r="A7" s="59" t="n">
        <v>275</v>
      </c>
      <c r="B7" s="60" t="n">
        <v>-0.1011015591802047</v>
      </c>
      <c r="C7" s="61" t="n">
        <v>0.85</v>
      </c>
      <c r="D7" s="61" t="n">
        <v>0.88</v>
      </c>
      <c r="E7" s="61" t="n">
        <v>0.865</v>
      </c>
      <c r="F7" s="62" t="n">
        <v>0.03468208092485552</v>
      </c>
      <c r="G7" s="59" t="n">
        <v>86.5</v>
      </c>
      <c r="H7" s="61" t="n">
        <v>274.135</v>
      </c>
      <c r="I7" s="60" t="n">
        <v>-0.1039290033667833</v>
      </c>
      <c r="J7" s="63" t="n">
        <v>-0.07020373444603631</v>
      </c>
      <c r="K7" s="64" t="n">
        <v>-0.04414272872785433</v>
      </c>
      <c r="L7" s="62" t="n">
        <v>-0.05103205633277957</v>
      </c>
      <c r="M7" s="65" t="n">
        <v>10483</v>
      </c>
    </row>
    <row r="8">
      <c r="A8" s="66" t="n">
        <v>280</v>
      </c>
      <c r="B8" s="67" t="n">
        <v>-0.08475795116529927</v>
      </c>
      <c r="C8" s="68" t="n">
        <v>1.21</v>
      </c>
      <c r="D8" s="68" t="n">
        <v>1.29</v>
      </c>
      <c r="E8" s="68" t="n">
        <v>1.25</v>
      </c>
      <c r="F8" s="69" t="n">
        <v>0.06400000000000006</v>
      </c>
      <c r="G8" s="66" t="n">
        <v>125</v>
      </c>
      <c r="H8" s="68" t="n">
        <v>278.75</v>
      </c>
      <c r="I8" s="67" t="n">
        <v>-0.08884385316902565</v>
      </c>
      <c r="J8" s="70" t="n">
        <v>-0.1005784642135794</v>
      </c>
      <c r="K8" s="71" t="n">
        <v>-0.05555335964863814</v>
      </c>
      <c r="L8" s="69" t="n">
        <v>-0.04444268771891051</v>
      </c>
      <c r="M8" s="72" t="n">
        <v>9051</v>
      </c>
    </row>
    <row r="9">
      <c r="A9" s="59" t="n">
        <v>285</v>
      </c>
      <c r="B9" s="60" t="n">
        <v>-0.06841434315039385</v>
      </c>
      <c r="C9" s="61" t="n">
        <v>1.76</v>
      </c>
      <c r="D9" s="61" t="n">
        <v>1.84</v>
      </c>
      <c r="E9" s="61" t="n">
        <v>1.8</v>
      </c>
      <c r="F9" s="62" t="n">
        <v>0.04444444444444448</v>
      </c>
      <c r="G9" s="59" t="n">
        <v>180</v>
      </c>
      <c r="H9" s="61" t="n">
        <v>283.2</v>
      </c>
      <c r="I9" s="60" t="n">
        <v>-0.07429804203575985</v>
      </c>
      <c r="J9" s="63" t="n">
        <v>-0.1402601742224144</v>
      </c>
      <c r="K9" s="64" t="n">
        <v>-0.06689365819553937</v>
      </c>
      <c r="L9" s="62" t="n">
        <v>-0.03716314344196631</v>
      </c>
      <c r="M9" s="65" t="n">
        <v>9990</v>
      </c>
    </row>
    <row r="10">
      <c r="A10" s="66" t="n">
        <v>290</v>
      </c>
      <c r="B10" s="67" t="n">
        <v>-0.05207073513548854</v>
      </c>
      <c r="C10" s="68" t="n">
        <v>2.6</v>
      </c>
      <c r="D10" s="68" t="n">
        <v>2.66</v>
      </c>
      <c r="E10" s="68" t="n">
        <v>2.63</v>
      </c>
      <c r="F10" s="69" t="n">
        <v>0.02281368821292778</v>
      </c>
      <c r="G10" s="66" t="n">
        <v>263</v>
      </c>
      <c r="H10" s="68" t="n">
        <v>287.37</v>
      </c>
      <c r="I10" s="67" t="n">
        <v>-0.06066747295132879</v>
      </c>
      <c r="J10" s="70" t="n">
        <v>-0.1948778387452643</v>
      </c>
      <c r="K10" s="71" t="n">
        <v>-0.07921126750438831</v>
      </c>
      <c r="L10" s="69" t="n">
        <v>-0.03011835266326552</v>
      </c>
      <c r="M10" s="72" t="n">
        <v>11010</v>
      </c>
    </row>
    <row r="11">
      <c r="A11" s="59" t="n">
        <v>295</v>
      </c>
      <c r="B11" s="60" t="n">
        <v>-0.03572712712058312</v>
      </c>
      <c r="C11" s="61" t="n">
        <v>3.75</v>
      </c>
      <c r="D11" s="61" t="n">
        <v>3.85</v>
      </c>
      <c r="E11" s="61" t="n">
        <v>3.8</v>
      </c>
      <c r="F11" s="62" t="n">
        <v>0.02631578947368424</v>
      </c>
      <c r="G11" s="59" t="n">
        <v>380</v>
      </c>
      <c r="H11" s="61" t="n">
        <v>291.2</v>
      </c>
      <c r="I11" s="60" t="n">
        <v>-0.04814826921191129</v>
      </c>
      <c r="J11" s="63" t="n">
        <v>-0.2659481401689739</v>
      </c>
      <c r="K11" s="64" t="n">
        <v>-0.09080551928515479</v>
      </c>
      <c r="L11" s="62" t="n">
        <v>-0.02389618928556705</v>
      </c>
      <c r="M11" s="65" t="n">
        <v>11623</v>
      </c>
    </row>
    <row r="12">
      <c r="A12" s="73" t="n">
        <v>300</v>
      </c>
      <c r="B12" s="74" t="n">
        <v>-0.01938351910567782</v>
      </c>
      <c r="C12" s="75" t="n">
        <v>5.35</v>
      </c>
      <c r="D12" s="75" t="n">
        <v>5.55</v>
      </c>
      <c r="E12" s="75" t="n">
        <v>5.449999999999999</v>
      </c>
      <c r="F12" s="76" t="n">
        <v>0.03669724770642206</v>
      </c>
      <c r="G12" s="73" t="n">
        <v>544.9999999999999</v>
      </c>
      <c r="H12" s="75" t="n">
        <v>294.55</v>
      </c>
      <c r="I12" s="74" t="n">
        <v>-0.0371980518419246</v>
      </c>
      <c r="J12" s="77" t="n">
        <v>-0.3526657558135846</v>
      </c>
      <c r="K12" s="78" t="n">
        <v>-0.1000764603390894</v>
      </c>
      <c r="L12" s="76" t="n">
        <v>-0.01836265327322742</v>
      </c>
      <c r="M12" s="79" t="n">
        <v>24216</v>
      </c>
    </row>
    <row r="13">
      <c r="A13" s="59" t="n">
        <v>305</v>
      </c>
      <c r="B13" s="60" t="n">
        <v>-0.003039911090772396</v>
      </c>
      <c r="C13" s="61" t="n">
        <v>7.35</v>
      </c>
      <c r="D13" s="61" t="n">
        <v>7.6</v>
      </c>
      <c r="E13" s="61" t="n">
        <v>7.475</v>
      </c>
      <c r="F13" s="62" t="n">
        <v>0.0334448160535117</v>
      </c>
      <c r="G13" s="59" t="n">
        <v>747.5</v>
      </c>
      <c r="H13" s="61" t="n">
        <v>297.525</v>
      </c>
      <c r="I13" s="60" t="n">
        <v>-0.02747360507305607</v>
      </c>
      <c r="J13" s="63" t="n">
        <v>-0.4475597353683152</v>
      </c>
      <c r="K13" s="64" t="n">
        <v>-0.1014903406101723</v>
      </c>
      <c r="L13" s="62" t="n">
        <v>-0.01357730309166185</v>
      </c>
      <c r="M13" s="65" t="n">
        <v>6712</v>
      </c>
    </row>
    <row r="14">
      <c r="A14" s="66" t="n">
        <v>310</v>
      </c>
      <c r="B14" s="67" t="n">
        <v>0.01330369692413291</v>
      </c>
      <c r="C14" s="68" t="n">
        <v>9.949999999999999</v>
      </c>
      <c r="D14" s="68" t="n">
        <v>10.25</v>
      </c>
      <c r="E14" s="68" t="n">
        <v>10.1</v>
      </c>
      <c r="F14" s="69" t="n">
        <v>0.02970297029702977</v>
      </c>
      <c r="G14" s="66" t="n">
        <v>1010</v>
      </c>
      <c r="H14" s="68" t="n">
        <v>299.9</v>
      </c>
      <c r="I14" s="67" t="n">
        <v>-0.01971039126597596</v>
      </c>
      <c r="J14" s="70" t="n">
        <v>-0.5474142408546141</v>
      </c>
      <c r="K14" s="71" t="n">
        <v>-0.09733466157841469</v>
      </c>
      <c r="L14" s="69" t="n">
        <v>-0.009637095205783633</v>
      </c>
      <c r="M14" s="72" t="n">
        <v>6707</v>
      </c>
    </row>
    <row r="15">
      <c r="A15" s="59" t="n">
        <v>315</v>
      </c>
      <c r="B15" s="60" t="n">
        <v>0.02964730493903822</v>
      </c>
      <c r="C15" s="61" t="n">
        <v>13</v>
      </c>
      <c r="D15" s="61" t="n">
        <v>14.1</v>
      </c>
      <c r="E15" s="61" t="n">
        <v>13.55</v>
      </c>
      <c r="F15" s="62" t="n">
        <v>0.08118081180811805</v>
      </c>
      <c r="G15" s="59" t="n">
        <v>1355</v>
      </c>
      <c r="H15" s="61" t="n">
        <v>301.45</v>
      </c>
      <c r="I15" s="60" t="n">
        <v>-0.01464387278135526</v>
      </c>
      <c r="J15" s="63" t="n">
        <v>-0.6297883722845791</v>
      </c>
      <c r="K15" s="64" t="n">
        <v>-0.09872936748268007</v>
      </c>
      <c r="L15" s="62" t="n">
        <v>-0.007286300183223621</v>
      </c>
      <c r="M15" s="65" t="n">
        <v>6061</v>
      </c>
    </row>
    <row r="16">
      <c r="A16" s="66" t="n">
        <v>320</v>
      </c>
      <c r="B16" s="67" t="n">
        <v>0.04599091295394375</v>
      </c>
      <c r="C16" s="68" t="n">
        <v>15.7</v>
      </c>
      <c r="D16" s="68" t="n">
        <v>17.9</v>
      </c>
      <c r="E16" s="68" t="n">
        <v>16.8</v>
      </c>
      <c r="F16" s="69" t="n">
        <v>0.1309523809523809</v>
      </c>
      <c r="G16" s="66" t="n">
        <v>1680</v>
      </c>
      <c r="H16" s="68" t="n">
        <v>303.2</v>
      </c>
      <c r="I16" s="67" t="n">
        <v>-0.008923609976138391</v>
      </c>
      <c r="J16" s="70" t="n">
        <v>-0.7035516991051179</v>
      </c>
      <c r="K16" s="71" t="n">
        <v>-0.08965751191833909</v>
      </c>
      <c r="L16" s="69" t="n">
        <v>-0.0053367566618059</v>
      </c>
      <c r="M16" s="72" t="n">
        <v>3890</v>
      </c>
    </row>
    <row r="17">
      <c r="A17" s="59" t="n">
        <v>325</v>
      </c>
      <c r="B17" s="60" t="n">
        <v>0.06233452096884906</v>
      </c>
      <c r="C17" s="61" t="n">
        <v>20.2</v>
      </c>
      <c r="D17" s="61" t="n">
        <v>21.45</v>
      </c>
      <c r="E17" s="61" t="n">
        <v>20.825</v>
      </c>
      <c r="F17" s="62" t="n">
        <v>0.06002400960384154</v>
      </c>
      <c r="G17" s="59" t="n">
        <v>2082.5</v>
      </c>
      <c r="H17" s="61" t="n">
        <v>304.175</v>
      </c>
      <c r="I17" s="60" t="n">
        <v>-0.005736606413231815</v>
      </c>
      <c r="J17" s="63" t="n">
        <v>-0.7851196594365887</v>
      </c>
      <c r="K17" s="64" t="n">
        <v>-0.06454301342491593</v>
      </c>
      <c r="L17" s="62" t="n">
        <v>-0.003099304366142422</v>
      </c>
      <c r="M17" s="65" t="n">
        <v>2757</v>
      </c>
    </row>
    <row r="19" ht="20" customHeight="1">
      <c r="A19" s="11" t="inlineStr">
        <is>
          <t>How to read the ladder</t>
        </is>
      </c>
    </row>
    <row r="20">
      <c r="A20" s="13" t="inlineStr">
        <is>
          <t>Cheap strikes are cheap for a reason. As you move down the ladder the cost per contract falls quickly, but the breakeven moves further from spot and theta eats a larger share of the premium every day. The Theta percent of premium column is the one most traders skip. It shows what fraction of the position decays daily, and it rises sharply on the low cost strikes. A wide bid ask spread has the same effect as decay because you pay it twice, once entering and once leaving.</t>
        </is>
      </c>
    </row>
    <row r="21"/>
    <row r="22"/>
    <row r="23"/>
    <row r="25">
      <c r="A25" s="15" t="inlineStr">
        <is>
          <t>MarketXLS Functions Used in This Sheet</t>
        </is>
      </c>
    </row>
    <row r="26">
      <c r="A26" s="16">
        <f>Strikes("AAPL","2026-09-18")</f>
        <v/>
      </c>
      <c r="B26" s="17" t="inlineStr">
        <is>
          <t>Pulls the strike list for an expiration</t>
        </is>
      </c>
    </row>
    <row r="27">
      <c r="A27" s="16">
        <f>ExpirationNext("AAPL",1)</f>
        <v/>
      </c>
      <c r="B27" s="17" t="inlineStr">
        <is>
          <t>Next expiration date for the underlying</t>
        </is>
      </c>
    </row>
    <row r="28">
      <c r="A28" s="16">
        <f>OptionSymbol("AAPL","2026-09-18","P",300)</f>
        <v/>
      </c>
      <c r="B28" s="17" t="inlineStr">
        <is>
          <t>Builds each contract symbol</t>
        </is>
      </c>
    </row>
    <row r="29">
      <c r="A29" s="16">
        <f>Bid(sym) / =Ask(sym)</f>
        <v/>
      </c>
      <c r="B29" s="17" t="inlineStr">
        <is>
          <t>Live quotes per strike</t>
        </is>
      </c>
    </row>
    <row r="30">
      <c r="A30" s="16">
        <f>QM_OpenInterest(sym)</f>
        <v/>
      </c>
      <c r="B30" s="17" t="inlineStr">
        <is>
          <t>Open interest per strike</t>
        </is>
      </c>
    </row>
    <row r="31">
      <c r="A31" s="16">
        <f>opt_Delta(...) / =opt_Theta(...)</f>
        <v/>
      </c>
      <c r="B31" s="17" t="inlineStr">
        <is>
          <t>Greeks per strike</t>
        </is>
      </c>
    </row>
    <row r="33">
      <c r="A33" s="18" t="inlineStr">
        <is>
          <t>Powered by MarketXLS   |   https://marketxls.com   |   Book a demo: https://marketxls.com/book-demo</t>
        </is>
      </c>
    </row>
  </sheetData>
  <mergeCells count="12">
    <mergeCell ref="A19:M19"/>
    <mergeCell ref="A1:M1"/>
    <mergeCell ref="B28:M28"/>
    <mergeCell ref="A33:M33"/>
    <mergeCell ref="B31:M31"/>
    <mergeCell ref="B30:M30"/>
    <mergeCell ref="B26:M26"/>
    <mergeCell ref="B27:M27"/>
    <mergeCell ref="A25:M25"/>
    <mergeCell ref="A20:M23"/>
    <mergeCell ref="A2:M2"/>
    <mergeCell ref="B29:M29"/>
  </mergeCells>
  <conditionalFormatting sqref="F5:F17">
    <cfRule type="colorScale" priority="1">
      <colorScale>
        <cfvo type="min"/>
        <cfvo type="max"/>
        <color rgb="00E8F5E9"/>
        <color rgb="00FDECEA"/>
      </colorScale>
    </cfRule>
  </conditionalFormatting>
  <conditionalFormatting sqref="L5:L17">
    <cfRule type="colorScale" priority="2">
      <colorScale>
        <cfvo type="min"/>
        <cfvo type="max"/>
        <color rgb="00E8F5E9"/>
        <color rgb="00FDECEA"/>
      </colorScale>
    </cfRule>
  </conditionalFormatting>
  <conditionalFormatting sqref="M5:M17">
    <cfRule type="colorScale" priority="3">
      <colorScale>
        <cfvo type="min"/>
        <cfvo type="max"/>
        <color rgb="00FDECEA"/>
        <color rgb="00E8F5E9"/>
      </colorScale>
    </cfRule>
  </conditionalFormatting>
  <pageMargins left="0.75" right="0.75" top="1" bottom="1" header="0.5" footer="0.5"/>
</worksheet>
</file>

<file path=xl/worksheets/sheet6.xml><?xml version="1.0" encoding="utf-8"?>
<worksheet xmlns="http://schemas.openxmlformats.org/spreadsheetml/2006/main">
  <sheetPr>
    <tabColor rgb="00F4A261"/>
    <outlinePr summaryBelow="1" summaryRight="1"/>
    <pageSetUpPr/>
  </sheetPr>
  <dimension ref="A1:G21"/>
  <sheetViews>
    <sheetView showGridLines="0" workbookViewId="0">
      <selection activeCell="A1" sqref="A1"/>
    </sheetView>
  </sheetViews>
  <sheetFormatPr baseColWidth="8" defaultRowHeight="15"/>
  <cols>
    <col width="22" customWidth="1" min="1" max="1"/>
    <col width="34" customWidth="1" min="2" max="2"/>
    <col width="16" customWidth="1" min="3" max="3"/>
    <col width="16" customWidth="1" min="4" max="4"/>
    <col width="18" customWidth="1" min="5" max="5"/>
    <col width="14" customWidth="1" min="6" max="6"/>
    <col width="34" customWidth="1" min="7" max="7"/>
  </cols>
  <sheetData>
    <row r="1" ht="30" customHeight="1">
      <c r="A1" s="9" t="inlineStr">
        <is>
          <t>Strategy Compare</t>
        </is>
      </c>
    </row>
    <row r="2" ht="18" customHeight="1">
      <c r="A2" s="10" t="inlineStr">
        <is>
          <t>Four ways to use a put on the same underlying, priced from the same chain.</t>
        </is>
      </c>
    </row>
    <row r="4" ht="28" customHeight="1">
      <c r="A4" s="43" t="inlineStr">
        <is>
          <t>Structure</t>
        </is>
      </c>
      <c r="B4" s="43" t="inlineStr">
        <is>
          <t>What you do</t>
        </is>
      </c>
      <c r="C4" s="43" t="inlineStr">
        <is>
          <t>Net cost or credit</t>
        </is>
      </c>
      <c r="D4" s="43" t="inlineStr">
        <is>
          <t>Max profit</t>
        </is>
      </c>
      <c r="E4" s="43" t="inlineStr">
        <is>
          <t>Max loss</t>
        </is>
      </c>
      <c r="F4" s="43" t="inlineStr">
        <is>
          <t>Breakeven</t>
        </is>
      </c>
      <c r="G4" s="43" t="inlineStr">
        <is>
          <t>Main risk</t>
        </is>
      </c>
    </row>
    <row r="5" ht="42" customHeight="1">
      <c r="A5" s="80" t="inlineStr">
        <is>
          <t>Long put</t>
        </is>
      </c>
      <c r="B5" s="81" t="inlineStr">
        <is>
          <t>Buy the $300 put for $5.45</t>
        </is>
      </c>
      <c r="C5" s="82" t="inlineStr">
        <is>
          <t>-$545</t>
        </is>
      </c>
      <c r="D5" s="82" t="inlineStr">
        <is>
          <t>$29,455</t>
        </is>
      </c>
      <c r="E5" s="82" t="inlineStr">
        <is>
          <t>$545</t>
        </is>
      </c>
      <c r="F5" s="82" t="inlineStr">
        <is>
          <t>$294.55</t>
        </is>
      </c>
      <c r="G5" s="81" t="inlineStr">
        <is>
          <t>Time decay. The premium is entirely time value, so a flat underlying loses money.</t>
        </is>
      </c>
    </row>
    <row r="6" ht="42" customHeight="1">
      <c r="A6" s="83" t="inlineStr">
        <is>
          <t>Protective put</t>
        </is>
      </c>
      <c r="B6" s="84" t="inlineStr">
        <is>
          <t>Own 100 shares and buy the $300 put</t>
        </is>
      </c>
      <c r="C6" s="85" t="inlineStr">
        <is>
          <t>-$545</t>
        </is>
      </c>
      <c r="D6" s="85" t="inlineStr">
        <is>
          <t>Unlimited on the shares</t>
        </is>
      </c>
      <c r="E6" s="85" t="inlineStr">
        <is>
          <t>$1,138</t>
        </is>
      </c>
      <c r="F6" s="85" t="inlineStr">
        <is>
          <t>$311.38</t>
        </is>
      </c>
      <c r="G6" s="84" t="inlineStr">
        <is>
          <t>The premium is a recurring cost. Repeated hedging drags on long run returns.</t>
        </is>
      </c>
    </row>
    <row r="7" ht="42" customHeight="1">
      <c r="A7" s="80" t="inlineStr">
        <is>
          <t>Cash secured put</t>
        </is>
      </c>
      <c r="B7" s="81" t="inlineStr">
        <is>
          <t>Sell the $295 put and set aside the cash</t>
        </is>
      </c>
      <c r="C7" s="82" t="inlineStr">
        <is>
          <t>+$380</t>
        </is>
      </c>
      <c r="D7" s="82" t="inlineStr">
        <is>
          <t>$380</t>
        </is>
      </c>
      <c r="E7" s="82" t="inlineStr">
        <is>
          <t>$29,120</t>
        </is>
      </c>
      <c r="F7" s="82" t="inlineStr">
        <is>
          <t>$291.20</t>
        </is>
      </c>
      <c r="G7" s="81" t="inlineStr">
        <is>
          <t>You take assignment risk and cap the gain at the premium received.</t>
        </is>
      </c>
    </row>
    <row r="8" ht="42" customHeight="1">
      <c r="A8" s="83" t="inlineStr">
        <is>
          <t>Bear put spread</t>
        </is>
      </c>
      <c r="B8" s="84" t="inlineStr">
        <is>
          <t>Buy the $300 put, sell the $290 put</t>
        </is>
      </c>
      <c r="C8" s="85" t="inlineStr">
        <is>
          <t>-$282</t>
        </is>
      </c>
      <c r="D8" s="85" t="inlineStr">
        <is>
          <t>$718</t>
        </is>
      </c>
      <c r="E8" s="85" t="inlineStr">
        <is>
          <t>$282</t>
        </is>
      </c>
      <c r="F8" s="85" t="inlineStr">
        <is>
          <t>$297.18</t>
        </is>
      </c>
      <c r="G8" s="84" t="inlineStr">
        <is>
          <t>The short leg caps the gain. A large drop pays no more than the spread width.</t>
        </is>
      </c>
    </row>
    <row r="10" ht="20" customHeight="1">
      <c r="A10" s="11" t="inlineStr">
        <is>
          <t>Choosing between them</t>
        </is>
      </c>
    </row>
    <row r="11">
      <c r="A11" s="13" t="inlineStr">
        <is>
          <t>The four structures answer different questions. A long put is a directional position with a known maximum loss and a demanding breakeven. A protective put is insurance on shares you already hold, so the premium behaves like an ongoing cost rather than a trade. A cash secured put pays you to accept the obligation to buy, and it loses if the underlying falls hard. A bear put spread trims the cost of the long put by giving up the tail. None of these is better in the abstract. Each one prices a different view, and this workbook exists so you can see all four costs side by side before committing capital.</t>
        </is>
      </c>
    </row>
    <row r="12"/>
    <row r="13"/>
    <row r="14"/>
    <row r="16">
      <c r="A16" s="15" t="inlineStr">
        <is>
          <t>MarketXLS Functions Used in This Sheet</t>
        </is>
      </c>
    </row>
    <row r="17">
      <c r="A17" s="16">
        <f>OptionSymbol("AAPL","2026-09-18","P",290)</f>
        <v/>
      </c>
      <c r="B17" s="17" t="inlineStr">
        <is>
          <t>Symbol for the short leg of the spread</t>
        </is>
      </c>
    </row>
    <row r="18">
      <c r="A18" s="16">
        <f>Bid(sym) / =Ask(sym)</f>
        <v/>
      </c>
      <c r="B18" s="17" t="inlineStr">
        <is>
          <t>Prices both legs of every structure</t>
        </is>
      </c>
    </row>
    <row r="19">
      <c r="A19" s="16">
        <f>Last("AAPL")</f>
        <v/>
      </c>
      <c r="B19" s="17" t="inlineStr">
        <is>
          <t>Underlying price for the protective put breakeven</t>
        </is>
      </c>
    </row>
    <row r="21">
      <c r="A21" s="18" t="inlineStr">
        <is>
          <t>Powered by MarketXLS   |   https://marketxls.com   |   Book a demo: https://marketxls.com/book-demo</t>
        </is>
      </c>
    </row>
  </sheetData>
  <mergeCells count="9">
    <mergeCell ref="B19:G19"/>
    <mergeCell ref="A1:G1"/>
    <mergeCell ref="A21:G21"/>
    <mergeCell ref="B17:G17"/>
    <mergeCell ref="A16:G16"/>
    <mergeCell ref="A2:G2"/>
    <mergeCell ref="A11:G14"/>
    <mergeCell ref="B18:G18"/>
    <mergeCell ref="A10:G10"/>
  </mergeCells>
  <pageMargins left="0.75" right="0.75" top="1" bottom="1" header="0.5" footer="0.5"/>
</worksheet>
</file>

<file path=xl/worksheets/sheet7.xml><?xml version="1.0" encoding="utf-8"?>
<worksheet xmlns="http://schemas.openxmlformats.org/spreadsheetml/2006/main">
  <sheetPr>
    <tabColor rgb="002A9D8F"/>
    <outlinePr summaryBelow="1" summaryRight="1"/>
    <pageSetUpPr/>
  </sheetPr>
  <dimension ref="A1:G36"/>
  <sheetViews>
    <sheetView showGridLines="0" workbookViewId="0">
      <selection activeCell="A1" sqref="A1"/>
    </sheetView>
  </sheetViews>
  <sheetFormatPr baseColWidth="8" defaultRowHeight="15"/>
  <cols>
    <col width="16" customWidth="1" min="1" max="1"/>
    <col width="16" customWidth="1" min="2" max="2"/>
    <col width="12" customWidth="1" min="3" max="3"/>
    <col width="18" customWidth="1" min="4" max="4"/>
    <col width="18" customWidth="1" min="5" max="5"/>
    <col width="20" customWidth="1" min="6" max="6"/>
    <col width="22" customWidth="1" min="7" max="7"/>
  </cols>
  <sheetData>
    <row r="1" ht="30" customHeight="1">
      <c r="A1" s="9" t="inlineStr">
        <is>
          <t>Position Sizing</t>
        </is>
      </c>
    </row>
    <row r="2" ht="18" customHeight="1">
      <c r="A2" s="10" t="inlineStr">
        <is>
          <t>Turn a portfolio value and a risk budget into a contract count.</t>
        </is>
      </c>
    </row>
    <row r="4" ht="20" customHeight="1">
      <c r="A4" s="11" t="inlineStr">
        <is>
          <t>Inputs</t>
        </is>
      </c>
    </row>
    <row r="5">
      <c r="A5" s="19" t="inlineStr">
        <is>
          <t>Portfolio value</t>
        </is>
      </c>
      <c r="B5" s="86" t="n">
        <v>250000</v>
      </c>
    </row>
    <row r="6">
      <c r="A6" s="19" t="inlineStr">
        <is>
          <t>Percent of portfolio you will risk</t>
        </is>
      </c>
      <c r="B6" s="87" t="n">
        <v>0.01</v>
      </c>
    </row>
    <row r="7">
      <c r="A7" s="19" t="inlineStr">
        <is>
          <t>Premium per contract</t>
        </is>
      </c>
      <c r="B7" s="37">
        <f>'Put Calculator'!$F$8*100</f>
        <v/>
      </c>
    </row>
    <row r="9" ht="20" customHeight="1">
      <c r="A9" s="11" t="inlineStr">
        <is>
          <t>Result</t>
        </is>
      </c>
    </row>
    <row r="10">
      <c r="A10" s="13" t="inlineStr">
        <is>
          <t>Dollar risk budget</t>
        </is>
      </c>
      <c r="B10" s="88">
        <f>$B$5*$B$6</f>
        <v/>
      </c>
    </row>
    <row r="11">
      <c r="A11" s="13" t="inlineStr">
        <is>
          <t>Contracts the budget supports</t>
        </is>
      </c>
      <c r="B11" s="89">
        <f>ROUNDDOWN($B$10/$B$7,0)</f>
        <v/>
      </c>
    </row>
    <row r="12">
      <c r="A12" s="13" t="inlineStr">
        <is>
          <t>Capital actually deployed</t>
        </is>
      </c>
      <c r="B12" s="88">
        <f>$B$11*$B$7</f>
        <v/>
      </c>
    </row>
    <row r="13">
      <c r="A13" s="13" t="inlineStr">
        <is>
          <t>Deployed as percent of portfolio</t>
        </is>
      </c>
      <c r="B13" s="90">
        <f>$B$12/$B$5</f>
        <v/>
      </c>
    </row>
    <row r="14">
      <c r="A14" s="13" t="inlineStr">
        <is>
          <t>Shares controlled</t>
        </is>
      </c>
      <c r="B14" s="91">
        <f>$B$11*100</f>
        <v/>
      </c>
    </row>
    <row r="15">
      <c r="A15" s="13" t="inlineStr">
        <is>
          <t>Notional exposure at the strike</t>
        </is>
      </c>
      <c r="B15" s="88">
        <f>$B$14*'Put Calculator'!$C$8</f>
        <v/>
      </c>
    </row>
    <row r="16">
      <c r="A16" s="13" t="inlineStr">
        <is>
          <t>Notional as percent of portfolio</t>
        </is>
      </c>
      <c r="B16" s="92">
        <f>$B$15/$B$5</f>
        <v/>
      </c>
    </row>
    <row r="18" ht="20" customHeight="1">
      <c r="A18" s="11" t="inlineStr">
        <is>
          <t>Risk budget ladder</t>
        </is>
      </c>
    </row>
    <row r="19" ht="28" customHeight="1">
      <c r="A19" s="43" t="inlineStr">
        <is>
          <t>Percent risked</t>
        </is>
      </c>
      <c r="B19" s="43" t="inlineStr">
        <is>
          <t>Dollar budget</t>
        </is>
      </c>
      <c r="C19" s="43" t="inlineStr">
        <is>
          <t>Contracts</t>
        </is>
      </c>
      <c r="D19" s="43" t="inlineStr">
        <is>
          <t>Capital deployed</t>
        </is>
      </c>
      <c r="E19" s="43" t="inlineStr">
        <is>
          <t>Shares controlled</t>
        </is>
      </c>
      <c r="F19" s="43" t="inlineStr">
        <is>
          <t>Notional at strike</t>
        </is>
      </c>
      <c r="G19" s="43" t="inlineStr">
        <is>
          <t>Notional % of portfolio</t>
        </is>
      </c>
    </row>
    <row r="20">
      <c r="A20" s="93" t="n">
        <v>0.005</v>
      </c>
      <c r="B20" s="59" t="n">
        <v>1250</v>
      </c>
      <c r="C20" s="94" t="n">
        <v>2</v>
      </c>
      <c r="D20" s="59" t="n">
        <v>1090</v>
      </c>
      <c r="E20" s="65" t="n">
        <v>200</v>
      </c>
      <c r="F20" s="59" t="n">
        <v>60000</v>
      </c>
      <c r="G20" s="62" t="n">
        <v>0.24</v>
      </c>
    </row>
    <row r="21">
      <c r="A21" s="93" t="n">
        <v>0.0075</v>
      </c>
      <c r="B21" s="59" t="n">
        <v>1875</v>
      </c>
      <c r="C21" s="94" t="n">
        <v>3</v>
      </c>
      <c r="D21" s="59" t="n">
        <v>1635</v>
      </c>
      <c r="E21" s="65" t="n">
        <v>300</v>
      </c>
      <c r="F21" s="59" t="n">
        <v>90000</v>
      </c>
      <c r="G21" s="62" t="n">
        <v>0.36</v>
      </c>
    </row>
    <row r="22">
      <c r="A22" s="95" t="n">
        <v>0.01</v>
      </c>
      <c r="B22" s="73" t="n">
        <v>2500</v>
      </c>
      <c r="C22" s="96" t="n">
        <v>4</v>
      </c>
      <c r="D22" s="73" t="n">
        <v>2180</v>
      </c>
      <c r="E22" s="79" t="n">
        <v>400</v>
      </c>
      <c r="F22" s="73" t="n">
        <v>120000</v>
      </c>
      <c r="G22" s="76" t="n">
        <v>0.48</v>
      </c>
    </row>
    <row r="23">
      <c r="A23" s="93" t="n">
        <v>0.015</v>
      </c>
      <c r="B23" s="59" t="n">
        <v>3750</v>
      </c>
      <c r="C23" s="94" t="n">
        <v>6</v>
      </c>
      <c r="D23" s="59" t="n">
        <v>3270</v>
      </c>
      <c r="E23" s="65" t="n">
        <v>600</v>
      </c>
      <c r="F23" s="59" t="n">
        <v>180000</v>
      </c>
      <c r="G23" s="62" t="n">
        <v>0.72</v>
      </c>
    </row>
    <row r="24">
      <c r="A24" s="93" t="n">
        <v>0.02</v>
      </c>
      <c r="B24" s="59" t="n">
        <v>5000</v>
      </c>
      <c r="C24" s="94" t="n">
        <v>9</v>
      </c>
      <c r="D24" s="59" t="n">
        <v>4905</v>
      </c>
      <c r="E24" s="65" t="n">
        <v>900</v>
      </c>
      <c r="F24" s="59" t="n">
        <v>270000</v>
      </c>
      <c r="G24" s="62" t="n">
        <v>1.08</v>
      </c>
    </row>
    <row r="25">
      <c r="A25" s="93" t="n">
        <v>0.03</v>
      </c>
      <c r="B25" s="59" t="n">
        <v>7500</v>
      </c>
      <c r="C25" s="94" t="n">
        <v>13</v>
      </c>
      <c r="D25" s="59" t="n">
        <v>7085</v>
      </c>
      <c r="E25" s="65" t="n">
        <v>1300</v>
      </c>
      <c r="F25" s="59" t="n">
        <v>390000</v>
      </c>
      <c r="G25" s="62" t="n">
        <v>1.56</v>
      </c>
    </row>
    <row r="27" ht="20" customHeight="1">
      <c r="A27" s="14" t="inlineStr">
        <is>
          <t>The number that surprises people</t>
        </is>
      </c>
    </row>
    <row r="28">
      <c r="A28" s="13" t="inlineStr">
        <is>
          <t>Look at the last two columns. A one percent risk budget on a 250,000 dollar portfolio buys four contracts, which is 400 shares of exposure and roughly 120,000 dollars of notional at the strike. The premium at risk is small, but the position behaves like a large short. Sizing a put by premium alone understates how much the position moves, which is why delta and notional belong in the same view as the dollar budget.</t>
        </is>
      </c>
    </row>
    <row r="29"/>
    <row r="30"/>
    <row r="32">
      <c r="A32" s="15" t="inlineStr">
        <is>
          <t>MarketXLS Functions Used in This Sheet</t>
        </is>
      </c>
    </row>
    <row r="33">
      <c r="A33" s="16">
        <f>Bid(sym) / =Ask(sym)</f>
        <v/>
      </c>
      <c r="B33" s="17" t="inlineStr">
        <is>
          <t>Premium that sets the contract count</t>
        </is>
      </c>
    </row>
    <row r="34">
      <c r="A34" s="16">
        <f>Last("AAPL")</f>
        <v/>
      </c>
      <c r="B34" s="17" t="inlineStr">
        <is>
          <t>Underlying price for the notional calculation</t>
        </is>
      </c>
    </row>
    <row r="36">
      <c r="A36" s="18" t="inlineStr">
        <is>
          <t>Powered by MarketXLS   |   https://marketxls.com   |   Book a demo: https://marketxls.com/book-demo</t>
        </is>
      </c>
    </row>
  </sheetData>
  <mergeCells count="11">
    <mergeCell ref="A32:G32"/>
    <mergeCell ref="A36:G36"/>
    <mergeCell ref="B34:G34"/>
    <mergeCell ref="A1:G1"/>
    <mergeCell ref="A18:G18"/>
    <mergeCell ref="A9:G9"/>
    <mergeCell ref="A27:G27"/>
    <mergeCell ref="A4:G4"/>
    <mergeCell ref="A2:G2"/>
    <mergeCell ref="A28:G30"/>
    <mergeCell ref="B33:G33"/>
  </mergeCells>
  <pageMargins left="0.75" right="0.75" top="1" bottom="1" header="0.5" footer="0.5"/>
</worksheet>
</file>

<file path=xl/worksheets/sheet8.xml><?xml version="1.0" encoding="utf-8"?>
<worksheet xmlns="http://schemas.openxmlformats.org/spreadsheetml/2006/main">
  <sheetPr>
    <tabColor rgb="000066CC"/>
    <outlinePr summaryBelow="1" summaryRight="1"/>
    <pageSetUpPr/>
  </sheetPr>
  <dimension ref="A1:H28"/>
  <sheetViews>
    <sheetView showGridLines="0" workbookViewId="0">
      <pane ySplit="4" topLeftCell="A5" activePane="bottomLeft" state="frozen"/>
      <selection pane="bottomLeft" activeCell="A1" sqref="A1"/>
    </sheetView>
  </sheetViews>
  <sheetFormatPr baseColWidth="8" defaultRowHeight="15"/>
  <cols>
    <col width="10" customWidth="1" min="1" max="1"/>
    <col width="20" customWidth="1" min="2" max="2"/>
    <col width="12" customWidth="1" min="3" max="3"/>
    <col width="14" customWidth="1" min="4" max="4"/>
    <col width="10" customWidth="1" min="5" max="5"/>
    <col width="18" customWidth="1" min="6" max="6"/>
    <col width="18" customWidth="1" min="7" max="7"/>
    <col width="20" customWidth="1" min="8" max="8"/>
  </cols>
  <sheetData>
    <row r="1" ht="30" customHeight="1">
      <c r="A1" s="9" t="inlineStr">
        <is>
          <t>Volatility Compare</t>
        </is>
      </c>
    </row>
    <row r="2" ht="18" customHeight="1">
      <c r="A2" s="10" t="inlineStr">
        <is>
          <t>Implied against realized volatility. Puts are expensive when implied sits far above realized.</t>
        </is>
      </c>
    </row>
    <row r="4" ht="28" customHeight="1">
      <c r="A4" s="43" t="inlineStr">
        <is>
          <t>Ticker</t>
        </is>
      </c>
      <c r="B4" s="43" t="inlineStr">
        <is>
          <t>Name</t>
        </is>
      </c>
      <c r="C4" s="43" t="inlineStr">
        <is>
          <t>Price</t>
        </is>
      </c>
      <c r="D4" s="43" t="inlineStr">
        <is>
          <t>Dividend yield</t>
        </is>
      </c>
      <c r="E4" s="43" t="inlineStr">
        <is>
          <t>Beta</t>
        </is>
      </c>
      <c r="F4" s="43" t="inlineStr">
        <is>
          <t>30 day implied vol</t>
        </is>
      </c>
      <c r="G4" s="43" t="inlineStr">
        <is>
          <t>30 day realized vol</t>
        </is>
      </c>
      <c r="H4" s="43" t="inlineStr">
        <is>
          <t>Implied minus realized</t>
        </is>
      </c>
    </row>
    <row r="5">
      <c r="A5" s="97" t="inlineStr">
        <is>
          <t>AAPL</t>
        </is>
      </c>
      <c r="B5" s="98" t="inlineStr">
        <is>
          <t>Apple</t>
        </is>
      </c>
      <c r="C5" s="61" t="n">
        <v>305.93</v>
      </c>
      <c r="D5" s="93" t="n">
        <v>0.0035</v>
      </c>
      <c r="E5" s="99" t="n">
        <v>1.086</v>
      </c>
      <c r="F5" s="93" t="n">
        <v>0.2185</v>
      </c>
      <c r="G5" s="93" t="n">
        <v>0.1932</v>
      </c>
      <c r="H5" s="100" t="n">
        <v>0.02529999999999999</v>
      </c>
    </row>
    <row r="6">
      <c r="A6" s="101" t="inlineStr">
        <is>
          <t>MSFT</t>
        </is>
      </c>
      <c r="B6" s="102" t="inlineStr">
        <is>
          <t>Microsoft</t>
        </is>
      </c>
      <c r="C6" s="68" t="n">
        <v>495.4</v>
      </c>
      <c r="D6" s="103" t="n">
        <v>0.0073</v>
      </c>
      <c r="E6" s="104" t="n">
        <v>1.099</v>
      </c>
      <c r="F6" s="103" t="n">
        <v>0.241</v>
      </c>
      <c r="G6" s="103" t="n">
        <v>0.2246</v>
      </c>
      <c r="H6" s="105" t="n">
        <v>0.0164</v>
      </c>
    </row>
    <row r="7">
      <c r="A7" s="97" t="inlineStr">
        <is>
          <t>NVDA</t>
        </is>
      </c>
      <c r="B7" s="98" t="inlineStr">
        <is>
          <t>NVIDIA</t>
        </is>
      </c>
      <c r="C7" s="61" t="n">
        <v>225.16</v>
      </c>
      <c r="D7" s="93" t="n">
        <v>0.0044</v>
      </c>
      <c r="E7" s="99" t="n">
        <v>2.215</v>
      </c>
      <c r="F7" s="93" t="n">
        <v>0.4102</v>
      </c>
      <c r="G7" s="93" t="n">
        <v>0.3808</v>
      </c>
      <c r="H7" s="100" t="n">
        <v>0.02939999999999998</v>
      </c>
    </row>
    <row r="8">
      <c r="A8" s="101" t="inlineStr">
        <is>
          <t>SPY</t>
        </is>
      </c>
      <c r="B8" s="102" t="inlineStr">
        <is>
          <t>S&amp;P 500 ETF</t>
        </is>
      </c>
      <c r="C8" s="68" t="n">
        <v>776.34</v>
      </c>
      <c r="D8" s="103" t="n">
        <v>0.0101</v>
      </c>
      <c r="E8" s="104" t="n">
        <v>1</v>
      </c>
      <c r="F8" s="103" t="n">
        <v>0.1487</v>
      </c>
      <c r="G8" s="103" t="n">
        <v>0.1201</v>
      </c>
      <c r="H8" s="105" t="n">
        <v>0.0286</v>
      </c>
    </row>
    <row r="9">
      <c r="A9" s="97" t="inlineStr">
        <is>
          <t>JPM</t>
        </is>
      </c>
      <c r="B9" s="98" t="inlineStr">
        <is>
          <t>JPMorgan Chase</t>
        </is>
      </c>
      <c r="C9" s="61" t="n">
        <v>362.84</v>
      </c>
      <c r="D9" s="93" t="n">
        <v>0.0165</v>
      </c>
      <c r="E9" s="99" t="n">
        <v>0.977</v>
      </c>
      <c r="F9" s="93" t="n">
        <v>0.2063</v>
      </c>
      <c r="G9" s="93" t="n">
        <v>0.1874</v>
      </c>
      <c r="H9" s="100" t="n">
        <v>0.0189</v>
      </c>
    </row>
    <row r="10">
      <c r="A10" s="101" t="inlineStr">
        <is>
          <t>KO</t>
        </is>
      </c>
      <c r="B10" s="102" t="inlineStr">
        <is>
          <t>Coca-Cola</t>
        </is>
      </c>
      <c r="C10" s="68" t="n">
        <v>87.70999999999999</v>
      </c>
      <c r="D10" s="103" t="n">
        <v>0.0242</v>
      </c>
      <c r="E10" s="104" t="n">
        <v>0.342</v>
      </c>
      <c r="F10" s="103" t="n">
        <v>0.1928</v>
      </c>
      <c r="G10" s="103" t="n">
        <v>0.1655</v>
      </c>
      <c r="H10" s="105" t="n">
        <v>0.02729999999999999</v>
      </c>
    </row>
    <row r="11">
      <c r="A11" s="97" t="inlineStr">
        <is>
          <t>XOM</t>
        </is>
      </c>
      <c r="B11" s="98" t="inlineStr">
        <is>
          <t>Exxon Mobil</t>
        </is>
      </c>
      <c r="C11" s="61" t="n">
        <v>160.1</v>
      </c>
      <c r="D11" s="93" t="n">
        <v>0.0257</v>
      </c>
      <c r="E11" s="99" t="n">
        <v>0.173</v>
      </c>
      <c r="F11" s="93" t="n">
        <v>0.2419</v>
      </c>
      <c r="G11" s="93" t="n">
        <v>0.2088</v>
      </c>
      <c r="H11" s="100" t="n">
        <v>0.03309999999999999</v>
      </c>
    </row>
    <row r="12">
      <c r="A12" s="101" t="inlineStr">
        <is>
          <t>TSLA</t>
        </is>
      </c>
      <c r="B12" s="102" t="inlineStr">
        <is>
          <t>Tesla</t>
        </is>
      </c>
      <c r="C12" s="68" t="n">
        <v>342.27</v>
      </c>
      <c r="D12" s="103" t="n">
        <v>0</v>
      </c>
      <c r="E12" s="104" t="n">
        <v>1.827</v>
      </c>
      <c r="F12" s="103" t="n">
        <v>0.4309</v>
      </c>
      <c r="G12" s="103" t="n">
        <v>0.4012</v>
      </c>
      <c r="H12" s="105" t="n">
        <v>0.0297</v>
      </c>
    </row>
    <row r="14" ht="20" customHeight="1">
      <c r="A14" s="11" t="inlineStr">
        <is>
          <t>Why this table belongs in a put calculator</t>
        </is>
      </c>
    </row>
    <row r="15">
      <c r="A15" s="13" t="inlineStr">
        <is>
          <t>Implied volatility is the single input you supply that the market does not hand you. Every other field on the calculator sheet is observable. When implied volatility sits well above realized volatility, the put costs more than the underlying has recently justified, and a buyer needs a larger move to profit. When the two converge, the premium is closer to the recent behaviour of the stock. This table does not tell you which way price will go. It tells you what you are paying for volatility, which is a different and more answerable question.</t>
        </is>
      </c>
    </row>
    <row r="16"/>
    <row r="17"/>
    <row r="18"/>
    <row r="20">
      <c r="A20" s="15" t="inlineStr">
        <is>
          <t>MarketXLS Functions Used in This Sheet</t>
        </is>
      </c>
    </row>
    <row r="21">
      <c r="A21" s="16">
        <f>Last("AAPL")</f>
        <v/>
      </c>
      <c r="B21" s="17" t="inlineStr">
        <is>
          <t>Current price</t>
        </is>
      </c>
    </row>
    <row r="22">
      <c r="A22" s="16">
        <f>DividendYield("AAPL")</f>
        <v/>
      </c>
      <c r="B22" s="17" t="inlineStr">
        <is>
          <t>Dividend yield, decimal</t>
        </is>
      </c>
    </row>
    <row r="23">
      <c r="A23" s="16">
        <f>ImpliedVolatility30d("AAPL")</f>
        <v/>
      </c>
      <c r="B23" s="17" t="inlineStr">
        <is>
          <t>30 day implied volatility, decimal</t>
        </is>
      </c>
    </row>
    <row r="24">
      <c r="A24" s="16">
        <f>ImpliedVolatilityRank1y("AAPL")</f>
        <v/>
      </c>
      <c r="B24" s="17" t="inlineStr">
        <is>
          <t>Where current implied vol sits in its one year range</t>
        </is>
      </c>
    </row>
    <row r="25">
      <c r="A25" s="16">
        <f>StockVolatilityThirtyDays("AAPL")</f>
        <v/>
      </c>
      <c r="B25" s="17" t="inlineStr">
        <is>
          <t>30 day realized volatility</t>
        </is>
      </c>
    </row>
    <row r="26">
      <c r="A26" s="16">
        <f>AverageDailyVolume("AAPL")</f>
        <v/>
      </c>
      <c r="B26" s="17" t="inlineStr">
        <is>
          <t>Liquidity check on the underlying</t>
        </is>
      </c>
    </row>
    <row r="28">
      <c r="A28" s="18" t="inlineStr">
        <is>
          <t>Powered by MarketXLS   |   https://marketxls.com   |   Book a demo: https://marketxls.com/book-demo</t>
        </is>
      </c>
    </row>
  </sheetData>
  <mergeCells count="12">
    <mergeCell ref="B22:H22"/>
    <mergeCell ref="B26:H26"/>
    <mergeCell ref="A20:H20"/>
    <mergeCell ref="B21:H21"/>
    <mergeCell ref="A2:H2"/>
    <mergeCell ref="A15:H18"/>
    <mergeCell ref="A28:H28"/>
    <mergeCell ref="B24:H24"/>
    <mergeCell ref="A14:H14"/>
    <mergeCell ref="B25:H25"/>
    <mergeCell ref="A1:H1"/>
    <mergeCell ref="B23:H23"/>
  </mergeCells>
  <conditionalFormatting sqref="H5:H12">
    <cfRule type="colorScale" priority="1">
      <colorScale>
        <cfvo type="min"/>
        <cfvo type="max"/>
        <color rgb="00E8F5E9"/>
        <color rgb="00FDECEA"/>
      </colorScale>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2026-08-15T17:19:08Z</dcterms:created>
  <dcterms:modified xsi:type="dcterms:W3CDTF">2026-08-15T17:19:08Z</dcterms:modified>
</cp:coreProperties>
</file>