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Spread Calculator" sheetId="2" state="visible" r:id="rId2"/>
    <sheet name="Payoff Table" sheetId="3" state="visible" r:id="rId3"/>
    <sheet name="Four Verticals" sheetId="4" state="visible" r:id="rId4"/>
    <sheet name="Greeks And Scenarios" sheetId="5" state="visible" r:id="rId5"/>
    <sheet name="Skew And Wing Cost" sheetId="6" state="visible" r:id="rId6"/>
    <sheet name="Formula Reference" sheetId="7" state="visible" r:id="rId7"/>
  </sheets>
  <definedNames/>
  <calcPr calcId="124519" fullCalcOnLoad="1"/>
</workbook>
</file>

<file path=xl/styles.xml><?xml version="1.0" encoding="utf-8"?>
<styleSheet xmlns="http://schemas.openxmlformats.org/spreadsheetml/2006/main">
  <numFmts count="5">
    <numFmt numFmtId="164" formatCode="$#,##0.00"/>
    <numFmt numFmtId="165" formatCode="0.0%"/>
    <numFmt numFmtId="166" formatCode="0.0000"/>
    <numFmt numFmtId="167" formatCode="0.00000"/>
    <numFmt numFmtId="168" formatCode="$#,##0"/>
  </numFmts>
  <fonts count="18">
    <font>
      <name val="Calibri"/>
      <family val="2"/>
      <color theme="1"/>
      <sz val="11"/>
      <scheme val="minor"/>
    </font>
    <font>
      <b val="1"/>
      <color rgb="00FFFFFF"/>
      <sz val="16"/>
    </font>
    <font>
      <b val="1"/>
      <color rgb="00FFFFFF"/>
      <sz val="11"/>
    </font>
    <font>
      <sz val="10"/>
    </font>
    <font>
      <b val="1"/>
      <color rgb="00FFFFFF"/>
      <sz val="10"/>
    </font>
    <font>
      <b val="1"/>
      <sz val="10"/>
    </font>
    <font>
      <i val="1"/>
      <color rgb="00D62828"/>
      <sz val="10"/>
    </font>
    <font>
      <name val="Consolas"/>
      <color rgb="00003366"/>
      <sz val="9"/>
    </font>
    <font>
      <color rgb="006B7280"/>
      <sz val="9"/>
    </font>
    <font>
      <i val="1"/>
      <color rgb="00FFFFFF"/>
      <sz val="9"/>
    </font>
    <font>
      <b val="1"/>
      <color rgb="00FFFFFF"/>
      <sz val="15"/>
    </font>
    <font>
      <b val="1"/>
      <color rgb="00000000"/>
      <sz val="10"/>
    </font>
    <font>
      <i val="1"/>
      <color rgb="006B7280"/>
      <sz val="9"/>
    </font>
    <font>
      <i val="1"/>
      <sz val="10"/>
    </font>
    <font>
      <b val="1"/>
      <color rgb="00D62828"/>
      <sz val="10"/>
    </font>
    <font>
      <b val="1"/>
      <color rgb="002A9D8F"/>
      <sz val="10"/>
    </font>
    <font>
      <color rgb="00D62828"/>
      <sz val="10"/>
    </font>
    <font>
      <color rgb="000066CC"/>
      <sz val="10"/>
      <u val="single"/>
    </font>
  </fonts>
  <fills count="9">
    <fill>
      <patternFill/>
    </fill>
    <fill>
      <patternFill patternType="gray125"/>
    </fill>
    <fill>
      <patternFill patternType="solid">
        <fgColor rgb="00003366"/>
      </patternFill>
    </fill>
    <fill>
      <patternFill patternType="solid">
        <fgColor rgb="000066CC"/>
      </patternFill>
    </fill>
    <fill>
      <patternFill patternType="solid">
        <fgColor rgb="00F4F6F8"/>
      </patternFill>
    </fill>
    <fill>
      <patternFill patternType="solid">
        <fgColor rgb="002A9D8F"/>
      </patternFill>
    </fill>
    <fill>
      <patternFill patternType="solid">
        <fgColor rgb="00FFFF00"/>
      </patternFill>
    </fill>
    <fill>
      <patternFill patternType="solid">
        <fgColor rgb="00D62828"/>
      </patternFill>
    </fill>
    <fill>
      <patternFill patternType="solid">
        <fgColor rgb="00FFF3B0"/>
      </patternFill>
    </fill>
  </fills>
  <borders count="7">
    <border>
      <left/>
      <right/>
      <top/>
      <bottom/>
      <diagonal/>
    </border>
    <border>
      <left style="thin">
        <color rgb="00E5E7EB"/>
      </left>
      <right style="thin">
        <color rgb="00E5E7EB"/>
      </right>
      <top style="thin">
        <color rgb="00E5E7EB"/>
      </top>
      <bottom style="thin">
        <color rgb="00E5E7EB"/>
      </bottom>
    </border>
    <border>
      <left/>
      <right/>
      <top style="thin">
        <color rgb="00E5E7EB"/>
      </top>
      <bottom/>
      <diagonal/>
    </border>
    <border>
      <left/>
      <right style="thin">
        <color rgb="00E5E7EB"/>
      </right>
      <top style="thin">
        <color rgb="00E5E7EB"/>
      </top>
      <bottom/>
      <diagonal/>
    </border>
    <border>
      <left/>
      <right/>
      <top style="thin">
        <color rgb="00E5E7EB"/>
      </top>
      <bottom style="thin">
        <color rgb="00E5E7EB"/>
      </bottom>
      <diagonal/>
    </border>
    <border>
      <left/>
      <right style="thin">
        <color rgb="00E5E7EB"/>
      </right>
      <top style="thin">
        <color rgb="00E5E7EB"/>
      </top>
      <bottom style="thin">
        <color rgb="00E5E7EB"/>
      </bottom>
      <diagonal/>
    </border>
    <border>
      <left style="medium">
        <color rgb="00003366"/>
      </left>
      <right style="medium">
        <color rgb="00003366"/>
      </right>
      <top style="medium">
        <color rgb="00003366"/>
      </top>
      <bottom style="medium">
        <color rgb="00003366"/>
      </bottom>
    </border>
  </borders>
  <cellStyleXfs count="1">
    <xf numFmtId="0" fontId="0" fillId="0" borderId="0"/>
  </cellStyleXfs>
  <cellXfs count="61">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center" vertical="center" wrapText="1"/>
    </xf>
    <xf numFmtId="0" fontId="3" fillId="0" borderId="0" applyAlignment="1" pivotButton="0" quotePrefix="0" xfId="0">
      <alignment vertical="top" wrapText="1"/>
    </xf>
    <xf numFmtId="0" fontId="2" fillId="3" borderId="0" applyAlignment="1" pivotButton="0" quotePrefix="0" xfId="0">
      <alignment horizontal="left" vertical="center" wrapText="1"/>
    </xf>
    <xf numFmtId="0" fontId="4" fillId="3" borderId="1" applyAlignment="1" pivotButton="0" quotePrefix="0" xfId="0">
      <alignment horizontal="center" vertical="center" wrapText="1"/>
    </xf>
    <xf numFmtId="0" fontId="5" fillId="0" borderId="1" applyAlignment="1" pivotButton="0" quotePrefix="0" xfId="0">
      <alignment horizontal="left" vertical="center" wrapText="1"/>
    </xf>
    <xf numFmtId="0" fontId="3" fillId="0" borderId="1" applyAlignment="1" pivotButton="0" quotePrefix="0" xfId="0">
      <alignment horizontal="center" vertical="center" wrapText="1"/>
    </xf>
    <xf numFmtId="0" fontId="5" fillId="4" borderId="1" applyAlignment="1" pivotButton="0" quotePrefix="0" xfId="0">
      <alignment horizontal="left" vertical="center" wrapText="1"/>
    </xf>
    <xf numFmtId="0" fontId="3" fillId="4" borderId="1" applyAlignment="1" pivotButton="0" quotePrefix="0" xfId="0">
      <alignment horizontal="center" vertical="center" wrapText="1"/>
    </xf>
    <xf numFmtId="0" fontId="6" fillId="0" borderId="0" applyAlignment="1" pivotButton="0" quotePrefix="0" xfId="0">
      <alignment vertical="top" wrapText="1"/>
    </xf>
    <xf numFmtId="0" fontId="2" fillId="2" borderId="0" applyAlignment="1" pivotButton="0" quotePrefix="0" xfId="0">
      <alignment horizontal="left" vertical="center" wrapText="1"/>
    </xf>
    <xf numFmtId="0" fontId="7" fillId="0" borderId="1" applyAlignment="1" pivotButton="0" quotePrefix="0" xfId="0">
      <alignment horizontal="left" vertical="center" wrapText="1"/>
    </xf>
    <xf numFmtId="0" fontId="8" fillId="0" borderId="1" applyAlignment="1" pivotButton="0" quotePrefix="0" xfId="0">
      <alignment horizontal="left" vertical="center" wrapText="1"/>
    </xf>
    <xf numFmtId="0" fontId="0" fillId="0" borderId="4" pivotButton="0" quotePrefix="0" xfId="0"/>
    <xf numFmtId="0" fontId="0" fillId="0" borderId="5" pivotButton="0" quotePrefix="0" xfId="0"/>
    <xf numFmtId="0" fontId="9" fillId="2" borderId="0" applyAlignment="1" pivotButton="0" quotePrefix="0" xfId="0">
      <alignment horizontal="center" vertical="center" wrapText="1"/>
    </xf>
    <xf numFmtId="0" fontId="10" fillId="2" borderId="0" applyAlignment="1" pivotButton="0" quotePrefix="0" xfId="0">
      <alignment horizontal="center" vertical="center" wrapText="1"/>
    </xf>
    <xf numFmtId="0" fontId="2" fillId="5" borderId="0" applyAlignment="1" pivotButton="0" quotePrefix="0" xfId="0">
      <alignment horizontal="left" vertical="center" wrapText="1"/>
    </xf>
    <xf numFmtId="0" fontId="3" fillId="0" borderId="1" applyAlignment="1" pivotButton="0" quotePrefix="0" xfId="0">
      <alignment horizontal="left" vertical="center" wrapText="1"/>
    </xf>
    <xf numFmtId="0" fontId="11" fillId="6" borderId="6" applyAlignment="1" pivotButton="0" quotePrefix="0" xfId="0">
      <alignment horizontal="center" vertical="center" wrapText="1"/>
    </xf>
    <xf numFmtId="0" fontId="12" fillId="0" borderId="1" applyAlignment="1" pivotButton="0" quotePrefix="0" xfId="0">
      <alignment horizontal="left" vertical="center" wrapText="1"/>
    </xf>
    <xf numFmtId="2" fontId="11" fillId="6" borderId="6" applyAlignment="1" pivotButton="0" quotePrefix="0" xfId="0">
      <alignment horizontal="center" vertical="center" wrapText="1"/>
    </xf>
    <xf numFmtId="1" fontId="11" fillId="6" borderId="6" applyAlignment="1" pivotButton="0" quotePrefix="0" xfId="0">
      <alignment horizontal="center" vertical="center" wrapText="1"/>
    </xf>
    <xf numFmtId="10" fontId="11" fillId="6" borderId="6" applyAlignment="1" pivotButton="0" quotePrefix="0" xfId="0">
      <alignment horizontal="center" vertical="center" wrapText="1"/>
    </xf>
    <xf numFmtId="164" fontId="3" fillId="0" borderId="1" applyAlignment="1" pivotButton="0" quotePrefix="0" xfId="0">
      <alignment horizontal="center" vertical="center" wrapText="1"/>
    </xf>
    <xf numFmtId="3" fontId="3" fillId="0" borderId="1" applyAlignment="1" pivotButton="0" quotePrefix="0" xfId="0">
      <alignment horizontal="center" vertical="center" wrapText="1"/>
    </xf>
    <xf numFmtId="0" fontId="3" fillId="4" borderId="1" applyAlignment="1" pivotButton="0" quotePrefix="0" xfId="0">
      <alignment horizontal="left" vertical="center" wrapText="1"/>
    </xf>
    <xf numFmtId="1" fontId="3" fillId="4" borderId="1" applyAlignment="1" pivotButton="0" quotePrefix="0" xfId="0">
      <alignment horizontal="center" vertical="center" wrapText="1"/>
    </xf>
    <xf numFmtId="164" fontId="3" fillId="4" borderId="1" applyAlignment="1" pivotButton="0" quotePrefix="0" xfId="0">
      <alignment horizontal="center" vertical="center" wrapText="1"/>
    </xf>
    <xf numFmtId="10" fontId="3" fillId="0" borderId="1" applyAlignment="1" pivotButton="0" quotePrefix="0" xfId="0">
      <alignment horizontal="center" vertical="center" wrapText="1"/>
    </xf>
    <xf numFmtId="2" fontId="3" fillId="4" borderId="1" applyAlignment="1" pivotButton="0" quotePrefix="0" xfId="0">
      <alignment horizontal="center" vertical="center" wrapText="1"/>
    </xf>
    <xf numFmtId="165" fontId="3" fillId="0" borderId="1" applyAlignment="1" pivotButton="0" quotePrefix="0" xfId="0">
      <alignment horizontal="center" vertical="center" wrapText="1"/>
    </xf>
    <xf numFmtId="0" fontId="2" fillId="7" borderId="0" applyAlignment="1" pivotButton="0" quotePrefix="0" xfId="0">
      <alignment horizontal="left" vertical="center" wrapText="1"/>
    </xf>
    <xf numFmtId="0" fontId="13" fillId="0" borderId="0" applyAlignment="1" pivotButton="0" quotePrefix="0" xfId="0">
      <alignment vertical="top" wrapText="1"/>
    </xf>
    <xf numFmtId="164" fontId="3" fillId="0" borderId="1" applyAlignment="1" pivotButton="0" quotePrefix="0" xfId="0">
      <alignment horizontal="left" vertical="center" wrapText="1"/>
    </xf>
    <xf numFmtId="164" fontId="14" fillId="0" borderId="1" applyAlignment="1" pivotButton="0" quotePrefix="0" xfId="0">
      <alignment horizontal="center" vertical="center" wrapText="1"/>
    </xf>
    <xf numFmtId="164" fontId="3" fillId="4" borderId="1" applyAlignment="1" pivotButton="0" quotePrefix="0" xfId="0">
      <alignment horizontal="left" vertical="center" wrapText="1"/>
    </xf>
    <xf numFmtId="164" fontId="14" fillId="4" borderId="1" applyAlignment="1" pivotButton="0" quotePrefix="0" xfId="0">
      <alignment horizontal="center" vertical="center" wrapText="1"/>
    </xf>
    <xf numFmtId="165" fontId="3" fillId="4" borderId="1" applyAlignment="1" pivotButton="0" quotePrefix="0" xfId="0">
      <alignment horizontal="center" vertical="center" wrapText="1"/>
    </xf>
    <xf numFmtId="164" fontId="3" fillId="8" borderId="1" applyAlignment="1" pivotButton="0" quotePrefix="0" xfId="0">
      <alignment horizontal="left" vertical="center" wrapText="1"/>
    </xf>
    <xf numFmtId="164" fontId="3" fillId="8" borderId="1" applyAlignment="1" pivotButton="0" quotePrefix="0" xfId="0">
      <alignment horizontal="center" vertical="center" wrapText="1"/>
    </xf>
    <xf numFmtId="164" fontId="14" fillId="8" borderId="1" applyAlignment="1" pivotButton="0" quotePrefix="0" xfId="0">
      <alignment horizontal="center" vertical="center" wrapText="1"/>
    </xf>
    <xf numFmtId="165" fontId="3" fillId="8" borderId="1" applyAlignment="1" pivotButton="0" quotePrefix="0" xfId="0">
      <alignment horizontal="center" vertical="center" wrapText="1"/>
    </xf>
    <xf numFmtId="164" fontId="15" fillId="4" borderId="1" applyAlignment="1" pivotButton="0" quotePrefix="0" xfId="0">
      <alignment horizontal="center" vertical="center" wrapText="1"/>
    </xf>
    <xf numFmtId="164" fontId="15" fillId="0" borderId="1" applyAlignment="1" pivotButton="0" quotePrefix="0" xfId="0">
      <alignment horizontal="center" vertical="center" wrapText="1"/>
    </xf>
    <xf numFmtId="166" fontId="3" fillId="0" borderId="1" applyAlignment="1" pivotButton="0" quotePrefix="0" xfId="0">
      <alignment horizontal="center" vertical="center" wrapText="1"/>
    </xf>
    <xf numFmtId="167" fontId="3" fillId="4" borderId="1" applyAlignment="1" pivotButton="0" quotePrefix="0" xfId="0">
      <alignment horizontal="center" vertical="center" wrapText="1"/>
    </xf>
    <xf numFmtId="4" fontId="3" fillId="0" borderId="1" applyAlignment="1" pivotButton="0" quotePrefix="0" xfId="0">
      <alignment horizontal="center" vertical="center" wrapText="1"/>
    </xf>
    <xf numFmtId="4" fontId="3" fillId="4" borderId="1" applyAlignment="1" pivotButton="0" quotePrefix="0" xfId="0">
      <alignment horizontal="center" vertical="center" wrapText="1"/>
    </xf>
    <xf numFmtId="164" fontId="16" fillId="0" borderId="1" applyAlignment="1" pivotButton="0" quotePrefix="0" xfId="0">
      <alignment horizontal="center" vertical="center" wrapText="1"/>
    </xf>
    <xf numFmtId="164" fontId="16" fillId="4" borderId="1" applyAlignment="1" pivotButton="0" quotePrefix="0" xfId="0">
      <alignment horizontal="center" vertical="center" wrapText="1"/>
    </xf>
    <xf numFmtId="168" fontId="3" fillId="0" borderId="1" applyAlignment="1" pivotButton="0" quotePrefix="0" xfId="0">
      <alignment horizontal="left" vertical="center" wrapText="1"/>
    </xf>
    <xf numFmtId="168" fontId="3" fillId="4" borderId="1" applyAlignment="1" pivotButton="0" quotePrefix="0" xfId="0">
      <alignment horizontal="left" vertical="center" wrapText="1"/>
    </xf>
    <xf numFmtId="10" fontId="3" fillId="4" borderId="1" applyAlignment="1" pivotButton="0" quotePrefix="0" xfId="0">
      <alignment horizontal="center" vertical="center" wrapText="1"/>
    </xf>
    <xf numFmtId="10" fontId="15" fillId="0" borderId="1" applyAlignment="1" pivotButton="0" quotePrefix="0" xfId="0">
      <alignment horizontal="center" vertical="center" wrapText="1"/>
    </xf>
    <xf numFmtId="10" fontId="14" fillId="4" borderId="1" applyAlignment="1" pivotButton="0" quotePrefix="0" xfId="0">
      <alignment horizontal="center" vertical="center" wrapText="1"/>
    </xf>
    <xf numFmtId="0" fontId="7" fillId="4" borderId="1" applyAlignment="1" pivotButton="0" quotePrefix="0" xfId="0">
      <alignment horizontal="left" vertical="center" wrapText="1"/>
    </xf>
    <xf numFmtId="0" fontId="5" fillId="0" borderId="1" pivotButton="0" quotePrefix="0" xfId="0"/>
    <xf numFmtId="0" fontId="17" fillId="0" borderId="1" pivotButton="0" quotePrefix="0" xfId="0"/>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comments/comment1.xml><?xml version="1.0" encoding="utf-8"?>
<comments xmlns="http://schemas.openxmlformats.org/spreadsheetml/2006/main">
  <authors>
    <author>MarketXLS</author>
  </authors>
  <commentList>
    <comment ref="B16" authorId="0" shapeId="0">
      <text>
        <t>=OptionSymbol("SPY","2026-09-18","C",775)</t>
      </text>
    </comment>
    <comment ref="C16" authorId="0" shapeId="0">
      <text>
        <t>=QM_Bid(contract symbol)</t>
      </text>
    </comment>
    <comment ref="D16" authorId="0" shapeId="0">
      <text>
        <t>=QM_Ask(contract symbol)</t>
      </text>
    </comment>
    <comment ref="F16" authorId="0" shapeId="0">
      <text>
        <t>=QM_OpenInterest(contract symbol)</t>
      </text>
    </comment>
    <comment ref="B17" authorId="0" shapeId="0">
      <text>
        <t>=OptionSymbol("SPY","2026-09-18","C",790)</t>
      </text>
    </comment>
    <comment ref="C17" authorId="0" shapeId="0">
      <text>
        <t>=QM_Bid(contract symbol)</t>
      </text>
    </comment>
    <comment ref="D17" authorId="0" shapeId="0">
      <text>
        <t>=QM_Ask(contract symbol)</t>
      </text>
    </comment>
    <comment ref="F17" authorId="0" shapeId="0">
      <text>
        <t>=QM_OpenInterest(contract symbol)</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7.xml.rels><Relationships xmlns="http://schemas.openxmlformats.org/package/2006/relationships"><Relationship Type="http://schemas.openxmlformats.org/officeDocument/2006/relationships/hyperlink" Target="https://marketxls.com" TargetMode="External" Id="rId1" /><Relationship Type="http://schemas.openxmlformats.org/officeDocument/2006/relationships/hyperlink" Target="https://marketxls.com/book-demo" TargetMode="External" Id="rId2" /><Relationship Type="http://schemas.openxmlformats.org/officeDocument/2006/relationships/hyperlink" Target="https://marketxls.com/functions" TargetMode="External" Id="rId3" /><Relationship Type="http://schemas.openxmlformats.org/officeDocument/2006/relationships/hyperlink" Target="https://optionxls.com" TargetMode="External" Id="rId4" /></Relationships>
</file>

<file path=xl/worksheets/sheet1.xml><?xml version="1.0" encoding="utf-8"?>
<worksheet xmlns="http://schemas.openxmlformats.org/spreadsheetml/2006/main">
  <sheetPr>
    <outlinePr summaryBelow="1" summaryRight="1"/>
    <pageSetUpPr/>
  </sheetPr>
  <dimension ref="A1:E41"/>
  <sheetViews>
    <sheetView workbookViewId="0">
      <pane ySplit="3" topLeftCell="A4" activePane="bottomLeft" state="frozen"/>
      <selection pane="bottomLeft" activeCell="A1" sqref="A1"/>
    </sheetView>
  </sheetViews>
  <sheetFormatPr baseColWidth="8" defaultRowHeight="15"/>
  <cols>
    <col width="34" customWidth="1" min="1" max="1"/>
    <col width="62" customWidth="1" min="2" max="2"/>
    <col width="46" customWidth="1" min="3" max="3"/>
    <col width="20" customWidth="1" min="4" max="4"/>
    <col width="18" customWidth="1" min="5" max="5"/>
  </cols>
  <sheetData>
    <row r="1" ht="26" customHeight="1">
      <c r="A1" s="1" t="inlineStr">
        <is>
          <t>OPTIONS SPREAD CALCULATOR</t>
        </is>
      </c>
    </row>
    <row r="2" ht="26" customHeight="1">
      <c r="A2" s="2" t="inlineStr">
        <is>
          <t>Static Sample - data as of 2026-08-15</t>
        </is>
      </c>
    </row>
    <row r="4">
      <c r="A4" s="3" t="inlineStr">
        <is>
          <t>This workbook prices a vertical spread: two options, same underlying, same expiry, two different strikes. It returns net cost, breakeven, maximum profit, maximum loss, net Greeks and the payoff at every price. Worked example: SPY at $776.34, expiry 2026-09-18, 34 days out.</t>
        </is>
      </c>
    </row>
    <row r="5"/>
    <row r="6"/>
    <row r="8">
      <c r="A8" s="4" t="inlineStr">
        <is>
          <t>The Sheets</t>
        </is>
      </c>
    </row>
    <row r="9" ht="30" customHeight="1">
      <c r="A9" s="5" t="inlineStr">
        <is>
          <t>Sheet</t>
        </is>
      </c>
      <c r="B9" s="5" t="inlineStr">
        <is>
          <t>What it does</t>
        </is>
      </c>
      <c r="C9" s="5" t="inlineStr">
        <is>
          <t>Start here</t>
        </is>
      </c>
      <c r="D9" s="5" t="inlineStr"/>
      <c r="E9" s="5" t="inlineStr"/>
    </row>
    <row r="10" ht="46" customHeight="1">
      <c r="A10" s="6" t="inlineStr">
        <is>
          <t>Spread Calculator</t>
        </is>
      </c>
      <c r="B10" s="7" t="inlineStr">
        <is>
          <t>Yellow input cells for ticker, expiry, both strikes and both premiums. Returns net debit or credit, breakeven, max profit, max loss, risk to reward and capital at risk.</t>
        </is>
      </c>
      <c r="C10" s="7" t="inlineStr">
        <is>
          <t>Change the yellow cells only.</t>
        </is>
      </c>
    </row>
    <row r="11" ht="46" customHeight="1">
      <c r="A11" s="8" t="inlineStr">
        <is>
          <t>Payoff Table</t>
        </is>
      </c>
      <c r="B11" s="9" t="inlineStr">
        <is>
          <t>Profit and loss per share and per contract at expiry, across a price ladder that spans both strikes.</t>
        </is>
      </c>
      <c r="C11" s="9" t="inlineStr">
        <is>
          <t>Read the breakeven row.</t>
        </is>
      </c>
    </row>
    <row r="12" ht="46" customHeight="1">
      <c r="A12" s="6" t="inlineStr">
        <is>
          <t>Four Verticals</t>
        </is>
      </c>
      <c r="B12" s="7" t="inlineStr">
        <is>
          <t>All four vertical spreads on the same underlying and expiry, side by side: bull call, bear call, bull put and bear put.</t>
        </is>
      </c>
      <c r="C12" s="7" t="inlineStr">
        <is>
          <t>Compare credit as a percent of width.</t>
        </is>
      </c>
    </row>
    <row r="13" ht="46" customHeight="1">
      <c r="A13" s="8" t="inlineStr">
        <is>
          <t>Greeks And Scenarios</t>
        </is>
      </c>
      <c r="B13" s="9" t="inlineStr">
        <is>
          <t>Net delta, gamma, theta, vega and rho for the spread, plus a mark to market grid across price and time.</t>
        </is>
      </c>
      <c r="C13" s="9" t="inlineStr">
        <is>
          <t>Watch theta flip sign with moneyness.</t>
        </is>
      </c>
    </row>
    <row r="14" ht="46" customHeight="1">
      <c r="A14" s="6" t="inlineStr">
        <is>
          <t>Skew And Wing Cost</t>
        </is>
      </c>
      <c r="B14" s="7" t="inlineStr">
        <is>
          <t>Implied volatility by strike on both sides of the chain, and what the protective wing costs in vol points.</t>
        </is>
      </c>
      <c r="C14" s="7" t="inlineStr">
        <is>
          <t>Compare the two credit spreads.</t>
        </is>
      </c>
    </row>
    <row r="15" ht="46" customHeight="1">
      <c r="A15" s="8" t="inlineStr">
        <is>
          <t>Formula Reference</t>
        </is>
      </c>
      <c r="B15" s="9" t="inlineStr">
        <is>
          <t>Every MarketXLS function used in this workbook, with its exact argument order.</t>
        </is>
      </c>
      <c r="C15" s="9" t="inlineStr">
        <is>
          <t>Copy the syntax you need.</t>
        </is>
      </c>
    </row>
    <row r="17">
      <c r="A17" s="4" t="inlineStr">
        <is>
          <t>Definitions Used Throughout</t>
        </is>
      </c>
    </row>
    <row r="18" ht="30" customHeight="1">
      <c r="A18" s="5" t="inlineStr">
        <is>
          <t>Term</t>
        </is>
      </c>
      <c r="B18" s="5" t="inlineStr">
        <is>
          <t>Definition</t>
        </is>
      </c>
      <c r="C18" s="5" t="inlineStr"/>
      <c r="D18" s="5" t="inlineStr"/>
      <c r="E18" s="5" t="inlineStr"/>
    </row>
    <row r="19" ht="28" customHeight="1">
      <c r="A19" s="6" t="inlineStr">
        <is>
          <t>Width</t>
        </is>
      </c>
      <c r="B19" s="7" t="inlineStr">
        <is>
          <t>Distance between the two strikes. It caps every outcome the spread can produce.</t>
        </is>
      </c>
    </row>
    <row r="20" ht="28" customHeight="1">
      <c r="A20" s="8" t="inlineStr">
        <is>
          <t>Net debit</t>
        </is>
      </c>
      <c r="B20" s="9" t="inlineStr">
        <is>
          <t>What you pay to open. It is the maximum loss on a debit spread.</t>
        </is>
      </c>
    </row>
    <row r="21" ht="28" customHeight="1">
      <c r="A21" s="6" t="inlineStr">
        <is>
          <t>Net credit</t>
        </is>
      </c>
      <c r="B21" s="7" t="inlineStr">
        <is>
          <t>What you receive to open. It is the maximum profit on a credit spread.</t>
        </is>
      </c>
    </row>
    <row r="22" ht="28" customHeight="1">
      <c r="A22" s="8" t="inlineStr">
        <is>
          <t>Mid price</t>
        </is>
      </c>
      <c r="B22" s="9" t="inlineStr">
        <is>
          <t>Average of bid and ask. It is a quote, not a fill.</t>
        </is>
      </c>
    </row>
    <row r="23" ht="28" customHeight="1">
      <c r="A23" s="6" t="inlineStr">
        <is>
          <t>Marketable price</t>
        </is>
      </c>
      <c r="B23" s="7" t="inlineStr">
        <is>
          <t>Buy at the ask and sell at the bid. It is the price you can transact at now.</t>
        </is>
      </c>
    </row>
    <row r="24" ht="28" customHeight="1">
      <c r="A24" s="8" t="inlineStr">
        <is>
          <t>Breakeven</t>
        </is>
      </c>
      <c r="B24" s="9" t="inlineStr">
        <is>
          <t>Underlying price at expiry where the spread returns the net cost.</t>
        </is>
      </c>
    </row>
    <row r="25" ht="28" customHeight="1">
      <c r="A25" s="6" t="inlineStr">
        <is>
          <t>Capital at risk</t>
        </is>
      </c>
      <c r="B25" s="7" t="inlineStr">
        <is>
          <t>Maximum loss times 100 times the contract count. Brokers hold this on a credit spread.</t>
        </is>
      </c>
    </row>
    <row r="27">
      <c r="A27" s="4" t="inlineStr">
        <is>
          <t>How The Static Version Works</t>
        </is>
      </c>
    </row>
    <row r="28">
      <c r="A28" s="3" t="inlineStr">
        <is>
          <t>Prices were captured on 2026-08-15 from the SPY 2026-09-18 chain. Every static cell carries a comment showing the MarketXLS formula that returns it live. Hover a value to read the formula, then open the template version to run it.</t>
        </is>
      </c>
    </row>
    <row r="29"/>
    <row r="30"/>
    <row r="32">
      <c r="A32" s="4" t="inlineStr">
        <is>
          <t>Educational Use Only</t>
        </is>
      </c>
    </row>
    <row r="33">
      <c r="A33" s="10" t="inlineStr">
        <is>
          <t>This workbook is an educational modelling tool. It contains no recommendation to buy or sell any security. Option spreads can lose their entire capital at risk. Verify every quote with your broker before you act.</t>
        </is>
      </c>
    </row>
    <row r="34"/>
    <row r="36">
      <c r="A36" s="11" t="inlineStr">
        <is>
          <t>MarketXLS Functions Used in This Sheet</t>
        </is>
      </c>
    </row>
    <row r="37">
      <c r="A37" s="12">
        <f>QM_Last("SPY")</f>
        <v/>
      </c>
      <c r="B37" s="13" t="inlineStr">
        <is>
          <t>Underlying price used on every sheet</t>
        </is>
      </c>
      <c r="C37" s="14" t="n"/>
      <c r="D37" s="14" t="n"/>
      <c r="E37" s="15" t="n"/>
    </row>
    <row r="38">
      <c r="A38" s="12">
        <f>ExpirationNext("SPY",1)</f>
        <v/>
      </c>
      <c r="B38" s="13" t="inlineStr">
        <is>
          <t>Next listed expiration date</t>
        </is>
      </c>
      <c r="C38" s="14" t="n"/>
      <c r="D38" s="14" t="n"/>
      <c r="E38" s="15" t="n"/>
    </row>
    <row r="39">
      <c r="A39" s="12">
        <f>earnings_date("SPY")</f>
        <v/>
      </c>
      <c r="B39" s="13" t="inlineStr">
        <is>
          <t>Event risk check before you choose an expiry</t>
        </is>
      </c>
      <c r="C39" s="14" t="n"/>
      <c r="D39" s="14" t="n"/>
      <c r="E39" s="15" t="n"/>
    </row>
    <row r="41">
      <c r="A41" s="16" t="inlineStr">
        <is>
          <t>Powered by MarketXLS   |   https://marketxls.com   |   Book a demo: https://marketxls.com/book-demo</t>
        </is>
      </c>
    </row>
  </sheetData>
  <mergeCells count="14">
    <mergeCell ref="A33:E34"/>
    <mergeCell ref="A2:E2"/>
    <mergeCell ref="A28:E30"/>
    <mergeCell ref="B37:E37"/>
    <mergeCell ref="B38:E38"/>
    <mergeCell ref="A41:E41"/>
    <mergeCell ref="B39:E39"/>
    <mergeCell ref="A1:E1"/>
    <mergeCell ref="A32:E32"/>
    <mergeCell ref="A36:E36"/>
    <mergeCell ref="A8:E8"/>
    <mergeCell ref="A17:E17"/>
    <mergeCell ref="A27:E27"/>
    <mergeCell ref="A4: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8"/>
  <sheetViews>
    <sheetView workbookViewId="0">
      <pane ySplit="3" topLeftCell="A4" activePane="bottomLeft" state="frozen"/>
      <selection pane="bottomLeft" activeCell="A1" sqref="A1"/>
    </sheetView>
  </sheetViews>
  <sheetFormatPr baseColWidth="8" defaultRowHeight="15"/>
  <cols>
    <col width="32" customWidth="1" min="1" max="1"/>
    <col width="18" customWidth="1" min="2" max="2"/>
    <col width="44" customWidth="1" min="3" max="3"/>
    <col width="16" customWidth="1" min="4" max="4"/>
    <col width="16" customWidth="1" min="5" max="5"/>
    <col width="16" customWidth="1" min="6" max="6"/>
  </cols>
  <sheetData>
    <row r="1" ht="26" customHeight="1">
      <c r="A1" s="17" t="inlineStr">
        <is>
          <t>VERTICAL SPREAD CALCULATOR</t>
        </is>
      </c>
    </row>
    <row r="2" ht="26" customHeight="1">
      <c r="A2" s="2" t="inlineStr">
        <is>
          <t>Worked example: SPY 775/790 call debit spread, expiry 2026-09-18</t>
        </is>
      </c>
    </row>
    <row r="4">
      <c r="A4" s="18" t="inlineStr">
        <is>
          <t>INPUTS - change the yellow cells only</t>
        </is>
      </c>
    </row>
    <row r="5">
      <c r="A5" s="19" t="inlineStr">
        <is>
          <t>Underlying ticker</t>
        </is>
      </c>
      <c r="B5" s="20" t="inlineStr">
        <is>
          <t>SPY</t>
        </is>
      </c>
      <c r="C5" s="21" t="inlineStr">
        <is>
          <t>Any optionable symbol</t>
        </is>
      </c>
    </row>
    <row r="6">
      <c r="A6" s="19" t="inlineStr">
        <is>
          <t>Expiry (YYYY-MM-DD)</t>
        </is>
      </c>
      <c r="B6" s="20" t="inlineStr">
        <is>
          <t>2026-09-18</t>
        </is>
      </c>
      <c r="C6" s="21" t="inlineStr">
        <is>
          <t>Both legs share this expiry</t>
        </is>
      </c>
    </row>
    <row r="7">
      <c r="A7" s="19" t="inlineStr">
        <is>
          <t>Option type (C or P)</t>
        </is>
      </c>
      <c r="B7" s="20" t="inlineStr">
        <is>
          <t>C</t>
        </is>
      </c>
      <c r="C7" s="21" t="inlineStr">
        <is>
          <t>C for calls, P for puts</t>
        </is>
      </c>
    </row>
    <row r="8">
      <c r="A8" s="19" t="inlineStr">
        <is>
          <t>Long strike (bought)</t>
        </is>
      </c>
      <c r="B8" s="22" t="n">
        <v>775</v>
      </c>
      <c r="C8" s="21" t="inlineStr">
        <is>
          <t>The leg you buy</t>
        </is>
      </c>
    </row>
    <row r="9">
      <c r="A9" s="19" t="inlineStr">
        <is>
          <t>Short strike (sold)</t>
        </is>
      </c>
      <c r="B9" s="22" t="n">
        <v>790</v>
      </c>
      <c r="C9" s="21" t="inlineStr">
        <is>
          <t>The leg you sell</t>
        </is>
      </c>
    </row>
    <row r="10">
      <c r="A10" s="19" t="inlineStr">
        <is>
          <t>Contracts</t>
        </is>
      </c>
      <c r="B10" s="23" t="n">
        <v>1</v>
      </c>
      <c r="C10" s="21" t="inlineStr">
        <is>
          <t>Each contract covers 100 shares</t>
        </is>
      </c>
    </row>
    <row r="11">
      <c r="A11" s="19" t="inlineStr">
        <is>
          <t>Risk free rate</t>
        </is>
      </c>
      <c r="B11" s="24" t="n">
        <v>0.04</v>
      </c>
      <c r="C11" s="21" t="inlineStr">
        <is>
          <t>Annual, decimal</t>
        </is>
      </c>
    </row>
    <row r="12">
      <c r="A12" s="19" t="inlineStr">
        <is>
          <t>Dividend yield / carry</t>
        </is>
      </c>
      <c r="B12" s="24" t="n">
        <v>0.02058620804280955</v>
      </c>
      <c r="C12" s="21" t="inlineStr">
        <is>
          <t>Solved from put-call parity on this chain, not the headline yield</t>
        </is>
      </c>
    </row>
    <row r="14">
      <c r="A14" s="4" t="inlineStr">
        <is>
          <t>LIVE LEG QUOTES</t>
        </is>
      </c>
    </row>
    <row r="15" ht="30" customHeight="1">
      <c r="A15" s="5" t="inlineStr">
        <is>
          <t>Leg</t>
        </is>
      </c>
      <c r="B15" s="5" t="inlineStr">
        <is>
          <t>Contract symbol</t>
        </is>
      </c>
      <c r="C15" s="5" t="inlineStr">
        <is>
          <t>Bid</t>
        </is>
      </c>
      <c r="D15" s="5" t="inlineStr">
        <is>
          <t>Ask</t>
        </is>
      </c>
      <c r="E15" s="5" t="inlineStr">
        <is>
          <t>Mid</t>
        </is>
      </c>
      <c r="F15" s="5" t="inlineStr">
        <is>
          <t>Open interest</t>
        </is>
      </c>
    </row>
    <row r="16">
      <c r="A16" s="6" t="inlineStr">
        <is>
          <t>BUY  (long)</t>
        </is>
      </c>
      <c r="B16" s="7" t="inlineStr">
        <is>
          <t>@SPY  260918C00775000</t>
        </is>
      </c>
      <c r="C16" s="25" t="n">
        <v>13.45</v>
      </c>
      <c r="D16" s="25" t="n">
        <v>13.54</v>
      </c>
      <c r="E16" s="25">
        <f>(C16+D16)/2</f>
        <v/>
      </c>
      <c r="F16" s="26" t="n">
        <v>11962</v>
      </c>
    </row>
    <row r="17">
      <c r="A17" s="6" t="inlineStr">
        <is>
          <t>SELL (short)</t>
        </is>
      </c>
      <c r="B17" s="7" t="inlineStr">
        <is>
          <t>@SPY  260918C00790000</t>
        </is>
      </c>
      <c r="C17" s="25" t="n">
        <v>6</v>
      </c>
      <c r="D17" s="25" t="n">
        <v>6.07</v>
      </c>
      <c r="E17" s="25">
        <f>(C17+D17)/2</f>
        <v/>
      </c>
      <c r="F17" s="26" t="n">
        <v>40922</v>
      </c>
    </row>
    <row r="19">
      <c r="A19" s="11" t="inlineStr">
        <is>
          <t>SPREAD RESULT</t>
        </is>
      </c>
    </row>
    <row r="20" ht="30" customHeight="1">
      <c r="A20" s="5" t="inlineStr">
        <is>
          <t>Measure</t>
        </is>
      </c>
      <c r="B20" s="5" t="inlineStr">
        <is>
          <t>Value</t>
        </is>
      </c>
      <c r="C20" s="5" t="inlineStr">
        <is>
          <t>How it is computed</t>
        </is>
      </c>
      <c r="D20" s="5" t="inlineStr"/>
      <c r="E20" s="5" t="inlineStr"/>
      <c r="F20" s="5" t="inlineStr"/>
    </row>
    <row r="21">
      <c r="A21" s="19" t="inlineStr">
        <is>
          <t>Underlying price</t>
        </is>
      </c>
      <c r="B21" s="25" t="n">
        <v>776.34</v>
      </c>
      <c r="C21" s="7">
        <f>QM_Last(ticker)</f>
        <v/>
      </c>
    </row>
    <row r="22">
      <c r="A22" s="27" t="inlineStr">
        <is>
          <t>Days to expiration</t>
        </is>
      </c>
      <c r="B22" s="28" t="n">
        <v>34</v>
      </c>
      <c r="C22" s="9" t="inlineStr">
        <is>
          <t>Calendar days left on both legs</t>
        </is>
      </c>
    </row>
    <row r="23">
      <c r="A23" s="19" t="inlineStr">
        <is>
          <t>Width of the spread</t>
        </is>
      </c>
      <c r="B23" s="25">
        <f>ABS($B$8-$B$9)</f>
        <v/>
      </c>
      <c r="C23" s="7" t="inlineStr">
        <is>
          <t>Strike distance. It caps every outcome.</t>
        </is>
      </c>
    </row>
    <row r="24">
      <c r="A24" s="27" t="inlineStr">
        <is>
          <t>Net cost at mid</t>
        </is>
      </c>
      <c r="B24" s="29">
        <f>E16-E17</f>
        <v/>
      </c>
      <c r="C24" s="9" t="inlineStr">
        <is>
          <t>Mid minus mid. A quote, not a fill.</t>
        </is>
      </c>
    </row>
    <row r="25">
      <c r="A25" s="19" t="inlineStr">
        <is>
          <t>Net cost, marketable</t>
        </is>
      </c>
      <c r="B25" s="25">
        <f>D16-C17</f>
        <v/>
      </c>
      <c r="C25" s="7" t="inlineStr">
        <is>
          <t>Buy the ask, sell the bid. This is the price you can transact at.</t>
        </is>
      </c>
    </row>
    <row r="26">
      <c r="A26" s="27" t="inlineStr">
        <is>
          <t>Slippage vs mid</t>
        </is>
      </c>
      <c r="B26" s="29">
        <f>B25-B24</f>
        <v/>
      </c>
      <c r="C26" s="9" t="inlineStr">
        <is>
          <t>What the bid to ask spread costs you at entry</t>
        </is>
      </c>
    </row>
    <row r="27">
      <c r="A27" s="19" t="inlineStr">
        <is>
          <t>Debit or credit</t>
        </is>
      </c>
      <c r="B27" s="7">
        <f>IF(B25&gt;0,"DEBIT (you pay)","CREDIT (you receive)")</f>
        <v/>
      </c>
      <c r="C27" s="7" t="inlineStr">
        <is>
          <t>Sign of the net cost</t>
        </is>
      </c>
    </row>
    <row r="28">
      <c r="A28" s="27" t="inlineStr">
        <is>
          <t>Maximum profit</t>
        </is>
      </c>
      <c r="B28" s="29">
        <f>IF(B25&gt;0,B23-B25,-B25)*$B$10*100</f>
        <v/>
      </c>
      <c r="C28" s="9" t="inlineStr">
        <is>
          <t>Debit: width minus debit. Credit: the credit itself.</t>
        </is>
      </c>
    </row>
    <row r="29">
      <c r="A29" s="19" t="inlineStr">
        <is>
          <t>Maximum loss</t>
        </is>
      </c>
      <c r="B29" s="25">
        <f>IF(B25&gt;0,B25,B23+B25)*$B$10*100</f>
        <v/>
      </c>
      <c r="C29" s="7" t="inlineStr">
        <is>
          <t>Debit: the debit. Credit: width minus credit.</t>
        </is>
      </c>
    </row>
    <row r="30">
      <c r="A30" s="27" t="inlineStr">
        <is>
          <t>Breakeven at expiry</t>
        </is>
      </c>
      <c r="B30" s="29">
        <f>IF($B$7="C",MIN($B$8,$B$9)+ABS(B25),MAX($B$8,$B$9)-ABS(B25))</f>
        <v/>
      </c>
      <c r="C30" s="9" t="inlineStr">
        <is>
          <t>Long strike plus the debit, on a call debit spread</t>
        </is>
      </c>
    </row>
    <row r="31">
      <c r="A31" s="19" t="inlineStr">
        <is>
          <t>Move required to breakeven</t>
        </is>
      </c>
      <c r="B31" s="30">
        <f>B30/B21-1</f>
        <v/>
      </c>
      <c r="C31" s="7" t="inlineStr">
        <is>
          <t>Percent move in the underlying by expiry</t>
        </is>
      </c>
    </row>
    <row r="32">
      <c r="A32" s="27" t="inlineStr">
        <is>
          <t>Risk to reward</t>
        </is>
      </c>
      <c r="B32" s="31">
        <f>B28/B29</f>
        <v/>
      </c>
      <c r="C32" s="9" t="inlineStr">
        <is>
          <t>Maximum profit divided by maximum loss</t>
        </is>
      </c>
    </row>
    <row r="33">
      <c r="A33" s="19" t="inlineStr">
        <is>
          <t>Net cost as percent of width</t>
        </is>
      </c>
      <c r="B33" s="32">
        <f>ABS(B25)/B23</f>
        <v/>
      </c>
      <c r="C33" s="7" t="inlineStr">
        <is>
          <t>The single number that compares spreads of different widths</t>
        </is>
      </c>
    </row>
    <row r="34">
      <c r="A34" s="27" t="inlineStr">
        <is>
          <t>Capital at risk</t>
        </is>
      </c>
      <c r="B34" s="29">
        <f>B29</f>
        <v/>
      </c>
      <c r="C34" s="9" t="inlineStr">
        <is>
          <t>Maximum loss times 100 times contracts. Your broker holds this.</t>
        </is>
      </c>
    </row>
    <row r="36">
      <c r="A36" s="33" t="inlineStr">
        <is>
          <t>Read This Before You Trade</t>
        </is>
      </c>
    </row>
    <row r="37">
      <c r="A37" s="34" t="inlineStr">
        <is>
          <t>Both outcomes are capped. A vertical spread cannot lose more than the figure above and cannot make more than the figure above, whatever the underlying does. Nothing here is a recommendation. This is an educational model.</t>
        </is>
      </c>
    </row>
    <row r="38"/>
    <row r="40">
      <c r="A40" s="11" t="inlineStr">
        <is>
          <t>MarketXLS Functions Used in This Sheet</t>
        </is>
      </c>
    </row>
    <row r="41">
      <c r="A41" s="12">
        <f>OptionSymbol(ticker, expiry, type, strike)</f>
        <v/>
      </c>
      <c r="B41" s="13" t="inlineStr">
        <is>
          <t>Builds the contract symbol both legs need</t>
        </is>
      </c>
      <c r="C41" s="14" t="n"/>
      <c r="D41" s="14" t="n"/>
      <c r="E41" s="15" t="n"/>
    </row>
    <row r="42">
      <c r="A42" s="12">
        <f>QM_Bid(optionSymbol)</f>
        <v/>
      </c>
      <c r="B42" s="13" t="inlineStr">
        <is>
          <t>Live bid on one leg</t>
        </is>
      </c>
      <c r="C42" s="14" t="n"/>
      <c r="D42" s="14" t="n"/>
      <c r="E42" s="15" t="n"/>
    </row>
    <row r="43">
      <c r="A43" s="12">
        <f>QM_Ask(optionSymbol)</f>
        <v/>
      </c>
      <c r="B43" s="13" t="inlineStr">
        <is>
          <t>Live ask on one leg</t>
        </is>
      </c>
      <c r="C43" s="14" t="n"/>
      <c r="D43" s="14" t="n"/>
      <c r="E43" s="15" t="n"/>
    </row>
    <row r="44">
      <c r="A44" s="12">
        <f>QM_OpenInterest(optionSymbol)</f>
        <v/>
      </c>
      <c r="B44" s="13" t="inlineStr">
        <is>
          <t>Open interest, the liquidity check</t>
        </is>
      </c>
      <c r="C44" s="14" t="n"/>
      <c r="D44" s="14" t="n"/>
      <c r="E44" s="15" t="n"/>
    </row>
    <row r="45">
      <c r="A45" s="12">
        <f>QM_Last("SPY")</f>
        <v/>
      </c>
      <c r="B45" s="13" t="inlineStr">
        <is>
          <t>Underlying price</t>
        </is>
      </c>
      <c r="C45" s="14" t="n"/>
      <c r="D45" s="14" t="n"/>
      <c r="E45" s="15" t="n"/>
    </row>
    <row r="46">
      <c r="A46" s="12">
        <f>OPT_DaysToExpiration(optionSymbol)</f>
        <v/>
      </c>
      <c r="B46" s="13" t="inlineStr">
        <is>
          <t>Calendar days to expiry</t>
        </is>
      </c>
      <c r="C46" s="14" t="n"/>
      <c r="D46" s="14" t="n"/>
      <c r="E46" s="15" t="n"/>
    </row>
    <row r="48">
      <c r="A48" s="16" t="inlineStr">
        <is>
          <t>Powered by MarketXLS   |   https://marketxls.com   |   Book a demo: https://marketxls.com/book-demo</t>
        </is>
      </c>
    </row>
  </sheetData>
  <mergeCells count="15">
    <mergeCell ref="A2:F2"/>
    <mergeCell ref="A37:F38"/>
    <mergeCell ref="B41:E41"/>
    <mergeCell ref="B45:E45"/>
    <mergeCell ref="A19:F19"/>
    <mergeCell ref="A14:F14"/>
    <mergeCell ref="A36:F36"/>
    <mergeCell ref="B43:E43"/>
    <mergeCell ref="A1:F1"/>
    <mergeCell ref="B44:E44"/>
    <mergeCell ref="A40:F40"/>
    <mergeCell ref="A4:F4"/>
    <mergeCell ref="A48:F48"/>
    <mergeCell ref="B42:E42"/>
    <mergeCell ref="B46:E46"/>
  </mergeCells>
  <dataValidations count="1">
    <dataValidation sqref="B7" showDropDown="0" showInputMessage="0" showErrorMessage="0" allowBlank="0" type="list">
      <formula1>"C,P"</formula1>
    </dataValidation>
  </dataValidation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F32"/>
  <sheetViews>
    <sheetView workbookViewId="0">
      <pane ySplit="7" topLeftCell="A8" activePane="bottomLeft" state="frozen"/>
      <selection pane="bottomLeft" activeCell="A1" sqref="A1"/>
    </sheetView>
  </sheetViews>
  <sheetFormatPr baseColWidth="8" defaultRowHeight="15"/>
  <cols>
    <col width="22" customWidth="1" min="1" max="1"/>
    <col width="20" customWidth="1" min="2" max="2"/>
    <col width="20" customWidth="1" min="3" max="3"/>
    <col width="20" customWidth="1" min="4" max="4"/>
    <col width="26" customWidth="1" min="5" max="5"/>
    <col width="18" customWidth="1" min="6" max="6"/>
  </cols>
  <sheetData>
    <row r="1" ht="26" customHeight="1">
      <c r="A1" s="17" t="inlineStr">
        <is>
          <t>PAYOFF AT EXPIRY</t>
        </is>
      </c>
    </row>
    <row r="2" ht="26" customHeight="1">
      <c r="A2" s="2" t="inlineStr">
        <is>
          <t>SPY 775/790 call debit spread, net debit $7.54, width $15.00</t>
        </is>
      </c>
    </row>
    <row r="4">
      <c r="A4" s="3" t="inlineStr">
        <is>
          <t>Profit and loss at expiry only. Before expiry the spread carries time value, so a mark between the strikes sits above this line while the short leg still has premium in it.</t>
        </is>
      </c>
    </row>
    <row r="5"/>
    <row r="7" ht="30" customHeight="1">
      <c r="A7" s="5" t="inlineStr">
        <is>
          <t>SPY at expiry</t>
        </is>
      </c>
      <c r="B7" s="5" t="inlineStr">
        <is>
          <t>Long leg value</t>
        </is>
      </c>
      <c r="C7" s="5" t="inlineStr">
        <is>
          <t>Short leg value</t>
        </is>
      </c>
      <c r="D7" s="5" t="inlineStr">
        <is>
          <t>P/L per share</t>
        </is>
      </c>
      <c r="E7" s="5" t="inlineStr">
        <is>
          <t>P/L per contract</t>
        </is>
      </c>
      <c r="F7" s="5" t="inlineStr">
        <is>
          <t>Percent of max loss</t>
        </is>
      </c>
    </row>
    <row r="8">
      <c r="A8" s="35" t="n">
        <v>760</v>
      </c>
      <c r="B8" s="25" t="n">
        <v>0</v>
      </c>
      <c r="C8" s="25" t="n">
        <v>0</v>
      </c>
      <c r="D8" s="36" t="n">
        <v>-7.539999999999999</v>
      </c>
      <c r="E8" s="36" t="n">
        <v>-753.9999999999999</v>
      </c>
      <c r="F8" s="32" t="n">
        <v>-1</v>
      </c>
    </row>
    <row r="9">
      <c r="A9" s="37" t="n">
        <v>765</v>
      </c>
      <c r="B9" s="29" t="n">
        <v>0</v>
      </c>
      <c r="C9" s="29" t="n">
        <v>0</v>
      </c>
      <c r="D9" s="38" t="n">
        <v>-7.539999999999999</v>
      </c>
      <c r="E9" s="38" t="n">
        <v>-753.9999999999999</v>
      </c>
      <c r="F9" s="39" t="n">
        <v>-1</v>
      </c>
    </row>
    <row r="10">
      <c r="A10" s="35" t="n">
        <v>770</v>
      </c>
      <c r="B10" s="25" t="n">
        <v>0</v>
      </c>
      <c r="C10" s="25" t="n">
        <v>0</v>
      </c>
      <c r="D10" s="36" t="n">
        <v>-7.539999999999999</v>
      </c>
      <c r="E10" s="36" t="n">
        <v>-753.9999999999999</v>
      </c>
      <c r="F10" s="32" t="n">
        <v>-1</v>
      </c>
    </row>
    <row r="11">
      <c r="A11" s="37" t="n">
        <v>775</v>
      </c>
      <c r="B11" s="29" t="n">
        <v>0</v>
      </c>
      <c r="C11" s="29" t="n">
        <v>0</v>
      </c>
      <c r="D11" s="38" t="n">
        <v>-7.539999999999999</v>
      </c>
      <c r="E11" s="38" t="n">
        <v>-753.9999999999999</v>
      </c>
      <c r="F11" s="39" t="n">
        <v>-1</v>
      </c>
    </row>
    <row r="12">
      <c r="A12" s="35" t="n">
        <v>777.5</v>
      </c>
      <c r="B12" s="25" t="n">
        <v>2.5</v>
      </c>
      <c r="C12" s="25" t="n">
        <v>0</v>
      </c>
      <c r="D12" s="36" t="n">
        <v>-5.039999999999999</v>
      </c>
      <c r="E12" s="36" t="n">
        <v>-503.9999999999999</v>
      </c>
      <c r="F12" s="32" t="n">
        <v>-0.6684350132625995</v>
      </c>
    </row>
    <row r="13">
      <c r="A13" s="37" t="n">
        <v>782.5</v>
      </c>
      <c r="B13" s="29" t="n">
        <v>7.5</v>
      </c>
      <c r="C13" s="29" t="n">
        <v>0</v>
      </c>
      <c r="D13" s="38" t="n">
        <v>-0.03999999999999915</v>
      </c>
      <c r="E13" s="38" t="n">
        <v>-3.999999999999915</v>
      </c>
      <c r="F13" s="39" t="n">
        <v>-0.005305039787798296</v>
      </c>
    </row>
    <row r="14">
      <c r="A14" s="40" t="n">
        <v>782.54</v>
      </c>
      <c r="B14" s="41" t="n">
        <v>7.539999999999964</v>
      </c>
      <c r="C14" s="41" t="n">
        <v>0</v>
      </c>
      <c r="D14" s="42" t="n">
        <v>-3.552713678800501e-14</v>
      </c>
      <c r="E14" s="42" t="n">
        <v>-3.552713678800501e-12</v>
      </c>
      <c r="F14" s="43" t="n">
        <v>-4.711821855173079e-15</v>
      </c>
    </row>
    <row r="15">
      <c r="A15" s="37" t="n">
        <v>787.5</v>
      </c>
      <c r="B15" s="29" t="n">
        <v>12.5</v>
      </c>
      <c r="C15" s="29" t="n">
        <v>0</v>
      </c>
      <c r="D15" s="44" t="n">
        <v>4.960000000000001</v>
      </c>
      <c r="E15" s="44" t="n">
        <v>496.0000000000001</v>
      </c>
      <c r="F15" s="39" t="n">
        <v>0.6578249336870028</v>
      </c>
    </row>
    <row r="16">
      <c r="A16" s="35" t="n">
        <v>790</v>
      </c>
      <c r="B16" s="25" t="n">
        <v>15</v>
      </c>
      <c r="C16" s="25" t="n">
        <v>0</v>
      </c>
      <c r="D16" s="45" t="n">
        <v>7.460000000000001</v>
      </c>
      <c r="E16" s="45" t="n">
        <v>746.0000000000001</v>
      </c>
      <c r="F16" s="32" t="n">
        <v>0.9893899204244034</v>
      </c>
    </row>
    <row r="17">
      <c r="A17" s="37" t="n">
        <v>795</v>
      </c>
      <c r="B17" s="29" t="n">
        <v>20</v>
      </c>
      <c r="C17" s="29" t="n">
        <v>5</v>
      </c>
      <c r="D17" s="44" t="n">
        <v>7.460000000000001</v>
      </c>
      <c r="E17" s="44" t="n">
        <v>746.0000000000001</v>
      </c>
      <c r="F17" s="39" t="n">
        <v>0.9893899204244034</v>
      </c>
    </row>
    <row r="18">
      <c r="A18" s="35" t="n">
        <v>800</v>
      </c>
      <c r="B18" s="25" t="n">
        <v>25</v>
      </c>
      <c r="C18" s="25" t="n">
        <v>10</v>
      </c>
      <c r="D18" s="45" t="n">
        <v>7.460000000000001</v>
      </c>
      <c r="E18" s="45" t="n">
        <v>746.0000000000001</v>
      </c>
      <c r="F18" s="32" t="n">
        <v>0.9893899204244034</v>
      </c>
    </row>
    <row r="19">
      <c r="A19" s="37" t="n">
        <v>805</v>
      </c>
      <c r="B19" s="29" t="n">
        <v>30</v>
      </c>
      <c r="C19" s="29" t="n">
        <v>15</v>
      </c>
      <c r="D19" s="44" t="n">
        <v>7.460000000000001</v>
      </c>
      <c r="E19" s="44" t="n">
        <v>746.0000000000001</v>
      </c>
      <c r="F19" s="39" t="n">
        <v>0.9893899204244034</v>
      </c>
    </row>
    <row r="21">
      <c r="A21" s="4" t="inlineStr">
        <is>
          <t>The Three Prices That Matter</t>
        </is>
      </c>
    </row>
    <row r="22" ht="30" customHeight="1">
      <c r="A22" s="5" t="inlineStr">
        <is>
          <t>Price level</t>
        </is>
      </c>
      <c r="B22" s="5" t="inlineStr">
        <is>
          <t>Value</t>
        </is>
      </c>
      <c r="C22" s="5" t="inlineStr">
        <is>
          <t>What happens there</t>
        </is>
      </c>
      <c r="D22" s="5" t="inlineStr"/>
      <c r="E22" s="5" t="inlineStr"/>
      <c r="F22" s="5" t="inlineStr"/>
    </row>
    <row r="23" ht="24" customHeight="1">
      <c r="A23" s="6" t="inlineStr">
        <is>
          <t>At or below $775.00</t>
        </is>
      </c>
      <c r="B23" s="25" t="n">
        <v>-7.539999999999999</v>
      </c>
      <c r="C23" s="7" t="inlineStr">
        <is>
          <t>Both legs expire worthless. You lose the full debit.</t>
        </is>
      </c>
    </row>
    <row r="24" ht="24" customHeight="1">
      <c r="A24" s="8" t="inlineStr">
        <is>
          <t>Breakeven $782.54</t>
        </is>
      </c>
      <c r="B24" s="29" t="n">
        <v>0</v>
      </c>
      <c r="C24" s="9" t="inlineStr">
        <is>
          <t>The long leg is worth exactly the debit you paid.</t>
        </is>
      </c>
    </row>
    <row r="25" ht="24" customHeight="1">
      <c r="A25" s="6" t="inlineStr">
        <is>
          <t>At or above $790.00</t>
        </is>
      </c>
      <c r="B25" s="25" t="n">
        <v>7.460000000000001</v>
      </c>
      <c r="C25" s="7" t="inlineStr">
        <is>
          <t>Both legs are in the money. The width minus the debit is yours.</t>
        </is>
      </c>
    </row>
    <row r="27">
      <c r="A27" s="11" t="inlineStr">
        <is>
          <t>MarketXLS Functions Used in This Sheet</t>
        </is>
      </c>
    </row>
    <row r="28">
      <c r="A28" s="12">
        <f>OPT_IntrinsicValue(optionSymbol, spot)</f>
        <v/>
      </c>
      <c r="B28" s="13" t="inlineStr">
        <is>
          <t>Intrinsic value of each leg at a given price</t>
        </is>
      </c>
      <c r="C28" s="14" t="n"/>
      <c r="D28" s="14" t="n"/>
      <c r="E28" s="15" t="n"/>
    </row>
    <row r="29">
      <c r="A29" s="12">
        <f>OPT_TimeValue(optionSymbol, optPrice, spot)</f>
        <v/>
      </c>
      <c r="B29" s="13" t="inlineStr">
        <is>
          <t>Time value still left in a leg before expiry</t>
        </is>
      </c>
      <c r="C29" s="14" t="n"/>
      <c r="D29" s="14" t="n"/>
      <c r="E29" s="15" t="n"/>
    </row>
    <row r="30">
      <c r="A30" s="12">
        <f>QM_Last("SPY")</f>
        <v/>
      </c>
      <c r="B30" s="13" t="inlineStr">
        <is>
          <t>Underlying price for the live payoff marker</t>
        </is>
      </c>
      <c r="C30" s="14" t="n"/>
      <c r="D30" s="14" t="n"/>
      <c r="E30" s="15" t="n"/>
    </row>
    <row r="32">
      <c r="A32" s="16" t="inlineStr">
        <is>
          <t>Powered by MarketXLS   |   https://marketxls.com   |   Book a demo: https://marketxls.com/book-demo</t>
        </is>
      </c>
    </row>
  </sheetData>
  <mergeCells count="9">
    <mergeCell ref="A2:F2"/>
    <mergeCell ref="A4:F5"/>
    <mergeCell ref="A1:F1"/>
    <mergeCell ref="B30:E30"/>
    <mergeCell ref="A27:F27"/>
    <mergeCell ref="A32:F32"/>
    <mergeCell ref="B29:E29"/>
    <mergeCell ref="A21:F21"/>
    <mergeCell ref="B28:E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xSplit="1" ySplit="7" topLeftCell="B8" activePane="bottomRight" state="frozen"/>
      <selection pane="topRight"/>
      <selection pane="bottomLeft"/>
      <selection pane="bottomRight" activeCell="A1" sqref="A1"/>
    </sheetView>
  </sheetViews>
  <sheetFormatPr baseColWidth="8" defaultRowHeight="15"/>
  <cols>
    <col width="30" customWidth="1" min="1" max="1"/>
    <col width="21" customWidth="1" min="2" max="2"/>
    <col width="21" customWidth="1" min="3" max="3"/>
    <col width="21" customWidth="1" min="4" max="4"/>
    <col width="21" customWidth="1" min="5" max="5"/>
  </cols>
  <sheetData>
    <row r="1" ht="26" customHeight="1">
      <c r="A1" s="17" t="inlineStr">
        <is>
          <t>THE FOUR VERTICAL SPREADS</t>
        </is>
      </c>
    </row>
    <row r="2" ht="26" customHeight="1">
      <c r="A2" s="2" t="inlineStr">
        <is>
          <t>Same underlying, same expiry: SPY 2026-09-18, spot $776.34, 34 days</t>
        </is>
      </c>
    </row>
    <row r="4">
      <c r="A4" s="3" t="inlineStr">
        <is>
          <t>Four spreads built from the same chain on the same day. Every price is marketable: the long leg pays the ask and the short leg sells the bid. Compare the last two rows.</t>
        </is>
      </c>
    </row>
    <row r="5"/>
    <row r="7" ht="30" customHeight="1">
      <c r="A7" s="5" t="inlineStr">
        <is>
          <t>Measure</t>
        </is>
      </c>
      <c r="B7" s="5" t="inlineStr">
        <is>
          <t>Bull call debit spread</t>
        </is>
      </c>
      <c r="C7" s="5" t="inlineStr">
        <is>
          <t>Bear call credit spread</t>
        </is>
      </c>
      <c r="D7" s="5" t="inlineStr">
        <is>
          <t>Bull put credit spread</t>
        </is>
      </c>
      <c r="E7" s="5" t="inlineStr">
        <is>
          <t>Bear put debit spread</t>
        </is>
      </c>
    </row>
    <row r="8">
      <c r="A8" s="6" t="inlineStr">
        <is>
          <t>Direction</t>
        </is>
      </c>
      <c r="B8" s="7" t="inlineStr">
        <is>
          <t>Bullish</t>
        </is>
      </c>
      <c r="C8" s="7" t="inlineStr">
        <is>
          <t>Bearish</t>
        </is>
      </c>
      <c r="D8" s="7" t="inlineStr">
        <is>
          <t>Bullish</t>
        </is>
      </c>
      <c r="E8" s="7" t="inlineStr">
        <is>
          <t>Bearish</t>
        </is>
      </c>
    </row>
    <row r="9">
      <c r="A9" s="8" t="inlineStr">
        <is>
          <t>Option type</t>
        </is>
      </c>
      <c r="B9" s="9" t="inlineStr">
        <is>
          <t>Calls</t>
        </is>
      </c>
      <c r="C9" s="9" t="inlineStr">
        <is>
          <t>Calls</t>
        </is>
      </c>
      <c r="D9" s="9" t="inlineStr">
        <is>
          <t>Puts</t>
        </is>
      </c>
      <c r="E9" s="9" t="inlineStr">
        <is>
          <t>Puts</t>
        </is>
      </c>
    </row>
    <row r="10">
      <c r="A10" s="6" t="inlineStr">
        <is>
          <t>Buy strike</t>
        </is>
      </c>
      <c r="B10" s="25" t="n">
        <v>775</v>
      </c>
      <c r="C10" s="25" t="n">
        <v>800</v>
      </c>
      <c r="D10" s="25" t="n">
        <v>760</v>
      </c>
      <c r="E10" s="25" t="n">
        <v>775</v>
      </c>
    </row>
    <row r="11">
      <c r="A11" s="8" t="inlineStr">
        <is>
          <t>Sell strike</t>
        </is>
      </c>
      <c r="B11" s="29" t="n">
        <v>790</v>
      </c>
      <c r="C11" s="29" t="n">
        <v>790</v>
      </c>
      <c r="D11" s="29" t="n">
        <v>770</v>
      </c>
      <c r="E11" s="29" t="n">
        <v>765</v>
      </c>
    </row>
    <row r="12">
      <c r="A12" s="6" t="inlineStr">
        <is>
          <t>Width</t>
        </is>
      </c>
      <c r="B12" s="25" t="n">
        <v>15</v>
      </c>
      <c r="C12" s="25" t="n">
        <v>10</v>
      </c>
      <c r="D12" s="25" t="n">
        <v>10</v>
      </c>
      <c r="E12" s="25" t="n">
        <v>10</v>
      </c>
    </row>
    <row r="13">
      <c r="A13" s="8" t="inlineStr">
        <is>
          <t>Net at mid</t>
        </is>
      </c>
      <c r="B13" s="29" t="n">
        <v>7.459999999999999</v>
      </c>
      <c r="C13" s="29" t="n">
        <v>-2.97</v>
      </c>
      <c r="D13" s="29" t="n">
        <v>-2.700000000000001</v>
      </c>
      <c r="E13" s="29" t="n">
        <v>3.315</v>
      </c>
    </row>
    <row r="14">
      <c r="A14" s="6" t="inlineStr">
        <is>
          <t>Net, marketable</t>
        </is>
      </c>
      <c r="B14" s="25" t="n">
        <v>7.539999999999999</v>
      </c>
      <c r="C14" s="25" t="n">
        <v>-2.92</v>
      </c>
      <c r="D14" s="25" t="n">
        <v>-2.66</v>
      </c>
      <c r="E14" s="25" t="n">
        <v>3.369999999999999</v>
      </c>
    </row>
    <row r="15">
      <c r="A15" s="8" t="inlineStr">
        <is>
          <t>Slippage vs mid</t>
        </is>
      </c>
      <c r="B15" s="29" t="n">
        <v>0.08000000000000007</v>
      </c>
      <c r="C15" s="29" t="n">
        <v>0.05000000000000027</v>
      </c>
      <c r="D15" s="29" t="n">
        <v>0.04000000000000092</v>
      </c>
      <c r="E15" s="29" t="n">
        <v>0.05499999999999972</v>
      </c>
    </row>
    <row r="16">
      <c r="A16" s="6" t="inlineStr">
        <is>
          <t>Opens as</t>
        </is>
      </c>
      <c r="B16" s="7" t="inlineStr">
        <is>
          <t>Debit paid</t>
        </is>
      </c>
      <c r="C16" s="7" t="inlineStr">
        <is>
          <t>Credit received</t>
        </is>
      </c>
      <c r="D16" s="7" t="inlineStr">
        <is>
          <t>Credit received</t>
        </is>
      </c>
      <c r="E16" s="7" t="inlineStr">
        <is>
          <t>Debit paid</t>
        </is>
      </c>
    </row>
    <row r="17">
      <c r="A17" s="8" t="inlineStr">
        <is>
          <t>Maximum profit</t>
        </is>
      </c>
      <c r="B17" s="29" t="n">
        <v>746.0000000000001</v>
      </c>
      <c r="C17" s="29" t="n">
        <v>292</v>
      </c>
      <c r="D17" s="29" t="n">
        <v>266</v>
      </c>
      <c r="E17" s="29" t="n">
        <v>663.0000000000001</v>
      </c>
    </row>
    <row r="18">
      <c r="A18" s="6" t="inlineStr">
        <is>
          <t>Maximum loss</t>
        </is>
      </c>
      <c r="B18" s="25" t="n">
        <v>753.9999999999999</v>
      </c>
      <c r="C18" s="25" t="n">
        <v>708</v>
      </c>
      <c r="D18" s="25" t="n">
        <v>734</v>
      </c>
      <c r="E18" s="25" t="n">
        <v>336.9999999999999</v>
      </c>
    </row>
    <row r="19">
      <c r="A19" s="8" t="inlineStr">
        <is>
          <t>Breakeven at expiry</t>
        </is>
      </c>
      <c r="B19" s="29" t="n">
        <v>782.54</v>
      </c>
      <c r="C19" s="29" t="n">
        <v>792.92</v>
      </c>
      <c r="D19" s="29" t="n">
        <v>767.34</v>
      </c>
      <c r="E19" s="29" t="n">
        <v>771.63</v>
      </c>
    </row>
    <row r="20">
      <c r="A20" s="6" t="inlineStr">
        <is>
          <t>Capital at risk</t>
        </is>
      </c>
      <c r="B20" s="25" t="n">
        <v>753.9999999999999</v>
      </c>
      <c r="C20" s="25" t="n">
        <v>708</v>
      </c>
      <c r="D20" s="25" t="n">
        <v>734</v>
      </c>
      <c r="E20" s="25" t="n">
        <v>336.9999999999999</v>
      </c>
    </row>
    <row r="21">
      <c r="A21" s="8" t="inlineStr">
        <is>
          <t>Risk to reward</t>
        </is>
      </c>
      <c r="B21" s="31" t="n">
        <v>0.9893899204244034</v>
      </c>
      <c r="C21" s="31" t="n">
        <v>0.4124293785310734</v>
      </c>
      <c r="D21" s="31" t="n">
        <v>0.3623978201634878</v>
      </c>
      <c r="E21" s="31" t="n">
        <v>1.967359050445105</v>
      </c>
    </row>
    <row r="22">
      <c r="A22" s="6" t="inlineStr">
        <is>
          <t>Net as percent of width</t>
        </is>
      </c>
      <c r="B22" s="32" t="n">
        <v>0.5026666666666666</v>
      </c>
      <c r="C22" s="32" t="n">
        <v>0.292</v>
      </c>
      <c r="D22" s="32" t="n">
        <v>0.266</v>
      </c>
      <c r="E22" s="32" t="n">
        <v>0.3369999999999999</v>
      </c>
    </row>
    <row r="23">
      <c r="A23" s="8" t="inlineStr">
        <is>
          <t>Net delta</t>
        </is>
      </c>
      <c r="B23" s="31" t="n">
        <v>0.2066742550120016</v>
      </c>
      <c r="C23" s="31" t="n">
        <v>-0.1276736172397401</v>
      </c>
      <c r="D23" s="31" t="n">
        <v>0.1044243653642065</v>
      </c>
      <c r="E23" s="31" t="n">
        <v>-0.1174832362562971</v>
      </c>
    </row>
    <row r="24">
      <c r="A24" s="6" t="inlineStr">
        <is>
          <t>Net theta per day</t>
        </is>
      </c>
      <c r="B24" s="25" t="n">
        <v>-3.656984544950348</v>
      </c>
      <c r="C24" s="25" t="n">
        <v>4.142396318361315</v>
      </c>
      <c r="D24" s="25" t="n">
        <v>0.348167668752955</v>
      </c>
      <c r="E24" s="25" t="n">
        <v>0.2445047724411259</v>
      </c>
    </row>
    <row r="25">
      <c r="A25" s="8" t="inlineStr">
        <is>
          <t>Net vega per vol point</t>
        </is>
      </c>
      <c r="B25" s="29" t="n">
        <v>7.452220619361105</v>
      </c>
      <c r="C25" s="29" t="n">
        <v>-18.40454536956992</v>
      </c>
      <c r="D25" s="29" t="n">
        <v>-10.10634478337207</v>
      </c>
      <c r="E25" s="29" t="n">
        <v>7.269052909065332</v>
      </c>
    </row>
    <row r="27">
      <c r="A27" s="4" t="inlineStr">
        <is>
          <t>How To Read This Table</t>
        </is>
      </c>
    </row>
    <row r="28" ht="30" customHeight="1">
      <c r="A28" s="5" t="inlineStr">
        <is>
          <t>Row</t>
        </is>
      </c>
      <c r="B28" s="5" t="inlineStr">
        <is>
          <t>What it tells you</t>
        </is>
      </c>
      <c r="C28" s="5" t="inlineStr"/>
      <c r="D28" s="5" t="inlineStr"/>
      <c r="E28" s="5" t="inlineStr"/>
    </row>
    <row r="29" ht="42" customHeight="1">
      <c r="A29" s="6" t="inlineStr">
        <is>
          <t>Net as percent of width</t>
        </is>
      </c>
      <c r="B29" s="7" t="inlineStr">
        <is>
          <t>The only figure that compares spreads of different widths. A credit spread taking 29 percent of a 10 wide spread and one taking 29 percent of a 5 wide spread carry the same structural odds.</t>
        </is>
      </c>
      <c r="C29" s="14" t="n"/>
      <c r="D29" s="14" t="n"/>
      <c r="E29" s="15" t="n"/>
    </row>
    <row r="30" ht="42" customHeight="1">
      <c r="A30" s="8" t="inlineStr">
        <is>
          <t>Slippage vs mid</t>
        </is>
      </c>
      <c r="B30" s="9" t="inlineStr">
        <is>
          <t>Two legs means two bid to ask spreads. Every calculator that prices at the mid understates the cost of getting in and overstates the credit you keep.</t>
        </is>
      </c>
      <c r="C30" s="14" t="n"/>
      <c r="D30" s="14" t="n"/>
      <c r="E30" s="15" t="n"/>
    </row>
    <row r="31" ht="42" customHeight="1">
      <c r="A31" s="6" t="inlineStr">
        <is>
          <t>Risk to reward</t>
        </is>
      </c>
      <c r="B31" s="7" t="inlineStr">
        <is>
          <t>A ratio below 1.0 means the loss is larger than the gain. That is normal on a credit spread and is not by itself a verdict on the trade.</t>
        </is>
      </c>
      <c r="C31" s="14" t="n"/>
      <c r="D31" s="14" t="n"/>
      <c r="E31" s="15" t="n"/>
    </row>
    <row r="32" ht="42" customHeight="1">
      <c r="A32" s="8" t="inlineStr">
        <is>
          <t>Net theta</t>
        </is>
      </c>
      <c r="B32" s="9" t="inlineStr">
        <is>
          <t>Positive on a credit spread, negative on a debit spread that is still out of the money. It flips sign as the spread moves through the strikes.</t>
        </is>
      </c>
      <c r="C32" s="14" t="n"/>
      <c r="D32" s="14" t="n"/>
      <c r="E32" s="15" t="n"/>
    </row>
    <row r="34">
      <c r="A34" s="11" t="inlineStr">
        <is>
          <t>MarketXLS Functions Used in This Sheet</t>
        </is>
      </c>
    </row>
    <row r="35">
      <c r="A35" s="12">
        <f>OptionSymbol(ticker, expiry, type, strike)</f>
        <v/>
      </c>
      <c r="B35" s="13" t="inlineStr">
        <is>
          <t>One call per leg, eight legs in this table</t>
        </is>
      </c>
      <c r="C35" s="14" t="n"/>
      <c r="D35" s="14" t="n"/>
      <c r="E35" s="15" t="n"/>
    </row>
    <row r="36">
      <c r="A36" s="12">
        <f>QM_Bid(optionSymbol)</f>
        <v/>
      </c>
      <c r="B36" s="13" t="inlineStr">
        <is>
          <t>Sell side of every short leg</t>
        </is>
      </c>
      <c r="C36" s="14" t="n"/>
      <c r="D36" s="14" t="n"/>
      <c r="E36" s="15" t="n"/>
    </row>
    <row r="37">
      <c r="A37" s="12">
        <f>QM_Ask(optionSymbol)</f>
        <v/>
      </c>
      <c r="B37" s="13" t="inlineStr">
        <is>
          <t>Buy side of every long leg</t>
        </is>
      </c>
      <c r="C37" s="14" t="n"/>
      <c r="D37" s="14" t="n"/>
      <c r="E37" s="15" t="n"/>
    </row>
    <row r="38">
      <c r="A38" s="12">
        <f>opt_Delta(spot, optPrice, expiry, type, strike, rate, divYield)</f>
        <v/>
      </c>
      <c r="B38" s="13" t="inlineStr">
        <is>
          <t>Leg delta, netted per spread</t>
        </is>
      </c>
      <c r="C38" s="14" t="n"/>
      <c r="D38" s="14" t="n"/>
      <c r="E38" s="15" t="n"/>
    </row>
    <row r="39">
      <c r="A39" s="12">
        <f>opt_Theta(spot, optPrice, expiry, type, strike, rate, divYield)</f>
        <v/>
      </c>
      <c r="B39" s="13" t="inlineStr">
        <is>
          <t>Leg theta, netted per spread</t>
        </is>
      </c>
      <c r="C39" s="14" t="n"/>
      <c r="D39" s="14" t="n"/>
      <c r="E39" s="15" t="n"/>
    </row>
    <row r="40">
      <c r="A40" s="12">
        <f>opt_Vega(spot, optPrice, expiry, type, strike, rate, divYield)</f>
        <v/>
      </c>
      <c r="B40" s="13" t="inlineStr">
        <is>
          <t>Leg vega, netted per spread</t>
        </is>
      </c>
      <c r="C40" s="14" t="n"/>
      <c r="D40" s="14" t="n"/>
      <c r="E40" s="15" t="n"/>
    </row>
    <row r="42">
      <c r="A42" s="16" t="inlineStr">
        <is>
          <t>Powered by MarketXLS   |   https://marketxls.com   |   Book a demo: https://marketxls.com/book-demo</t>
        </is>
      </c>
    </row>
  </sheetData>
  <mergeCells count="16">
    <mergeCell ref="B31:E31"/>
    <mergeCell ref="A34:E34"/>
    <mergeCell ref="B36:E36"/>
    <mergeCell ref="B40:E40"/>
    <mergeCell ref="B35:E35"/>
    <mergeCell ref="A4:E5"/>
    <mergeCell ref="A2:E2"/>
    <mergeCell ref="A42:E42"/>
    <mergeCell ref="B30:E30"/>
    <mergeCell ref="B38:E38"/>
    <mergeCell ref="B29:E29"/>
    <mergeCell ref="B39:E39"/>
    <mergeCell ref="A1:E1"/>
    <mergeCell ref="B37:E37"/>
    <mergeCell ref="A27:E27"/>
    <mergeCell ref="B32:E3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8"/>
  <sheetViews>
    <sheetView workbookViewId="0">
      <pane ySplit="3" topLeftCell="A4" activePane="bottomLeft" state="frozen"/>
      <selection pane="bottomLeft" activeCell="A1" sqref="A1"/>
    </sheetView>
  </sheetViews>
  <sheetFormatPr baseColWidth="8" defaultRowHeight="15"/>
  <cols>
    <col width="26" customWidth="1" min="1" max="1"/>
    <col width="17" customWidth="1" min="2" max="2"/>
    <col width="17" customWidth="1" min="3" max="3"/>
    <col width="17" customWidth="1" min="4" max="4"/>
    <col width="17" customWidth="1" min="5" max="5"/>
    <col width="17" customWidth="1" min="6" max="6"/>
    <col width="17" customWidth="1" min="7" max="7"/>
  </cols>
  <sheetData>
    <row r="1" ht="26" customHeight="1">
      <c r="A1" s="17" t="inlineStr">
        <is>
          <t>NET GREEKS AND SCENARIO GRID</t>
        </is>
      </c>
    </row>
    <row r="2" ht="26" customHeight="1">
      <c r="A2" s="2" t="inlineStr">
        <is>
          <t>SPY 775/790 call debit spread, 34 days to 2026-09-18</t>
        </is>
      </c>
    </row>
    <row r="4">
      <c r="A4" s="4" t="inlineStr">
        <is>
          <t>LEG GREEKS AND THE NET SPREAD</t>
        </is>
      </c>
    </row>
    <row r="5" ht="30" customHeight="1">
      <c r="A5" s="5" t="inlineStr">
        <is>
          <t>Greek</t>
        </is>
      </c>
      <c r="B5" s="5" t="inlineStr">
        <is>
          <t>Long 775 call</t>
        </is>
      </c>
      <c r="C5" s="5" t="inlineStr">
        <is>
          <t>Short 790 call</t>
        </is>
      </c>
      <c r="D5" s="5" t="inlineStr">
        <is>
          <t>Net spread</t>
        </is>
      </c>
      <c r="E5" s="5" t="inlineStr">
        <is>
          <t>Per contract</t>
        </is>
      </c>
      <c r="F5" s="5" t="inlineStr">
        <is>
          <t>Reads as</t>
        </is>
      </c>
      <c r="G5" s="5" t="inlineStr"/>
    </row>
    <row r="6">
      <c r="A6" s="6" t="inlineStr">
        <is>
          <t>Delta</t>
        </is>
      </c>
      <c r="B6" s="46" t="n">
        <v>0.5427151205758602</v>
      </c>
      <c r="C6" s="46" t="n">
        <v>0.3360408655638586</v>
      </c>
      <c r="D6" s="46" t="n">
        <v>0.2066742550120016</v>
      </c>
      <c r="E6" s="46" t="n">
        <v>0.2066742550120016</v>
      </c>
      <c r="F6" s="7" t="inlineStr">
        <is>
          <t>Shares of exposure per spread</t>
        </is>
      </c>
      <c r="G6" s="15" t="n"/>
    </row>
    <row r="7">
      <c r="A7" s="8" t="inlineStr">
        <is>
          <t>Gamma</t>
        </is>
      </c>
      <c r="B7" s="47" t="n">
        <v>0.01302363813519195</v>
      </c>
      <c r="C7" s="47" t="n">
        <v>0.01318718283010816</v>
      </c>
      <c r="D7" s="47" t="n">
        <v>-0.0001635446949162095</v>
      </c>
      <c r="E7" s="47" t="n">
        <v>-0.0001635446949162095</v>
      </c>
      <c r="F7" s="9" t="inlineStr">
        <is>
          <t>How fast delta changes per $1 move</t>
        </is>
      </c>
      <c r="G7" s="15" t="n"/>
    </row>
    <row r="8">
      <c r="A8" s="6" t="inlineStr">
        <is>
          <t>Theta per day</t>
        </is>
      </c>
      <c r="B8" s="48" t="n">
        <v>-0.1978065300074451</v>
      </c>
      <c r="C8" s="48" t="n">
        <v>-0.1612366845579416</v>
      </c>
      <c r="D8" s="48" t="n">
        <v>-0.03656984544950348</v>
      </c>
      <c r="E8" s="25" t="n">
        <v>-3.656984544950348</v>
      </c>
      <c r="F8" s="7" t="inlineStr">
        <is>
          <t>Dollars gained or lost per calendar day</t>
        </is>
      </c>
      <c r="G8" s="15" t="n"/>
    </row>
    <row r="9">
      <c r="A9" s="8" t="inlineStr">
        <is>
          <t>Vega per vol point</t>
        </is>
      </c>
      <c r="B9" s="49" t="n">
        <v>0.9377766072542161</v>
      </c>
      <c r="C9" s="49" t="n">
        <v>0.863254401060605</v>
      </c>
      <c r="D9" s="49" t="n">
        <v>0.07452220619361105</v>
      </c>
      <c r="E9" s="29" t="n">
        <v>7.452220619361105</v>
      </c>
      <c r="F9" s="9" t="inlineStr">
        <is>
          <t>Dollars per 1 point change in implied volatility</t>
        </is>
      </c>
      <c r="G9" s="15" t="n"/>
    </row>
    <row r="10">
      <c r="A10" s="6" t="inlineStr">
        <is>
          <t>Rho per 1% rate</t>
        </is>
      </c>
      <c r="B10" s="48" t="n">
        <v>0.3799024528237631</v>
      </c>
      <c r="C10" s="48" t="n">
        <v>0.2373916939573361</v>
      </c>
      <c r="D10" s="48" t="n">
        <v>0.142510758866427</v>
      </c>
      <c r="E10" s="25" t="n">
        <v>14.2510758866427</v>
      </c>
      <c r="F10" s="7" t="inlineStr">
        <is>
          <t>Dollars per 1 percent change in rates</t>
        </is>
      </c>
      <c r="G10" s="15" t="n"/>
    </row>
    <row r="12">
      <c r="A12" s="3" t="inlineStr">
        <is>
          <t>Net Greeks are the long leg minus the short leg. Selling the higher strike removes most of the delta and most of the vega, which is exactly what the second leg is for. It also removes most of the upside.</t>
        </is>
      </c>
    </row>
    <row r="13"/>
    <row r="15">
      <c r="A15" s="11" t="inlineStr">
        <is>
          <t>SPREAD MARK ACROSS PRICE AND TIME</t>
        </is>
      </c>
    </row>
    <row r="16" ht="30" customHeight="1">
      <c r="A16" s="5" t="inlineStr">
        <is>
          <t>SPY price</t>
        </is>
      </c>
      <c r="B16" s="5" t="inlineStr">
        <is>
          <t>34 days left</t>
        </is>
      </c>
      <c r="C16" s="5" t="inlineStr">
        <is>
          <t>21 days left</t>
        </is>
      </c>
      <c r="D16" s="5" t="inlineStr">
        <is>
          <t>10 days left</t>
        </is>
      </c>
      <c r="E16" s="5" t="inlineStr">
        <is>
          <t>At expiry</t>
        </is>
      </c>
      <c r="F16" s="5" t="inlineStr"/>
      <c r="G16" s="5" t="inlineStr"/>
    </row>
    <row r="17">
      <c r="A17" s="35" t="n">
        <v>750</v>
      </c>
      <c r="B17" s="50" t="n">
        <v>2.649800297124465</v>
      </c>
      <c r="C17" s="50" t="n">
        <v>1.55002727520651</v>
      </c>
      <c r="D17" s="50" t="n">
        <v>0.4355746624813488</v>
      </c>
      <c r="E17" s="50" t="n">
        <v>0</v>
      </c>
    </row>
    <row r="18">
      <c r="A18" s="37" t="n">
        <v>760</v>
      </c>
      <c r="B18" s="51" t="n">
        <v>4.236564700390602</v>
      </c>
      <c r="C18" s="51" t="n">
        <v>3.085999011827624</v>
      </c>
      <c r="D18" s="51" t="n">
        <v>1.513697351970958</v>
      </c>
      <c r="E18" s="51" t="n">
        <v>0</v>
      </c>
    </row>
    <row r="19">
      <c r="A19" s="35" t="n">
        <v>770</v>
      </c>
      <c r="B19" s="50" t="n">
        <v>6.156942186362187</v>
      </c>
      <c r="C19" s="50" t="n">
        <v>5.261197192528499</v>
      </c>
      <c r="D19" s="50" t="n">
        <v>3.815354411636775</v>
      </c>
      <c r="E19" s="50" t="n">
        <v>0</v>
      </c>
    </row>
    <row r="20">
      <c r="A20" s="37" t="n">
        <v>775</v>
      </c>
      <c r="B20" s="51" t="n">
        <v>7.183009290662341</v>
      </c>
      <c r="C20" s="51" t="n">
        <v>6.513423563609336</v>
      </c>
      <c r="D20" s="51" t="n">
        <v>5.424697320443386</v>
      </c>
      <c r="E20" s="51" t="n">
        <v>0</v>
      </c>
    </row>
    <row r="21">
      <c r="A21" s="35" t="n">
        <v>780</v>
      </c>
      <c r="B21" s="45" t="n">
        <v>8.21331919777532</v>
      </c>
      <c r="C21" s="45" t="n">
        <v>7.805984259679008</v>
      </c>
      <c r="D21" s="50" t="n">
        <v>7.213533227284046</v>
      </c>
      <c r="E21" s="50" t="n">
        <v>5</v>
      </c>
    </row>
    <row r="22">
      <c r="A22" s="37" t="n">
        <v>785</v>
      </c>
      <c r="B22" s="44" t="n">
        <v>9.217452174097502</v>
      </c>
      <c r="C22" s="44" t="n">
        <v>9.078830812136687</v>
      </c>
      <c r="D22" s="44" t="n">
        <v>9.024930400142182</v>
      </c>
      <c r="E22" s="44" t="n">
        <v>10</v>
      </c>
    </row>
    <row r="23">
      <c r="A23" s="35" t="n">
        <v>790</v>
      </c>
      <c r="B23" s="45" t="n">
        <v>10.16764632552844</v>
      </c>
      <c r="C23" s="45" t="n">
        <v>10.27524426809816</v>
      </c>
      <c r="D23" s="45" t="n">
        <v>10.69657626157039</v>
      </c>
      <c r="E23" s="45" t="n">
        <v>15</v>
      </c>
    </row>
    <row r="24">
      <c r="A24" s="37" t="n">
        <v>800</v>
      </c>
      <c r="B24" s="44" t="n">
        <v>11.82102400825562</v>
      </c>
      <c r="C24" s="44" t="n">
        <v>12.27036309311745</v>
      </c>
      <c r="D24" s="44" t="n">
        <v>13.18246418047659</v>
      </c>
      <c r="E24" s="44" t="n">
        <v>15</v>
      </c>
    </row>
    <row r="26">
      <c r="A26" s="3" t="inlineStr">
        <is>
          <t>Values are the spread mark, not profit. You paid $7.54. Green means the spread is worth more than you paid, red means less. Read the row at $790.00 downward: the spread does not reach its full width until the last days, because the short leg keeps time value until it expires. That is why a debit spread that is already at its upper strike still cannot be closed at full value.</t>
        </is>
      </c>
    </row>
    <row r="27"/>
    <row r="28"/>
    <row r="30">
      <c r="A30" s="11" t="inlineStr">
        <is>
          <t>MarketXLS Functions Used in This Sheet</t>
        </is>
      </c>
    </row>
    <row r="31">
      <c r="A31" s="12">
        <f>opt_Delta(spot, optPrice, expiry, "C", strike, rate, divYield)</f>
        <v/>
      </c>
      <c r="B31" s="13" t="inlineStr">
        <is>
          <t>Leg delta</t>
        </is>
      </c>
      <c r="C31" s="14" t="n"/>
      <c r="D31" s="14" t="n"/>
      <c r="E31" s="15" t="n"/>
    </row>
    <row r="32">
      <c r="A32" s="12">
        <f>opt_Gamma(spot, optPrice, expiry, "C", strike, rate, divYield)</f>
        <v/>
      </c>
      <c r="B32" s="13" t="inlineStr">
        <is>
          <t>Leg gamma</t>
        </is>
      </c>
      <c r="C32" s="14" t="n"/>
      <c r="D32" s="14" t="n"/>
      <c r="E32" s="15" t="n"/>
    </row>
    <row r="33">
      <c r="A33" s="12">
        <f>opt_Theta(spot, optPrice, expiry, "C", strike, rate, divYield)</f>
        <v/>
      </c>
      <c r="B33" s="13" t="inlineStr">
        <is>
          <t>Leg theta</t>
        </is>
      </c>
      <c r="C33" s="14" t="n"/>
      <c r="D33" s="14" t="n"/>
      <c r="E33" s="15" t="n"/>
    </row>
    <row r="34">
      <c r="A34" s="12">
        <f>opt_Vega(spot, optPrice, expiry, "C", strike, rate, divYield)</f>
        <v/>
      </c>
      <c r="B34" s="13" t="inlineStr">
        <is>
          <t>Leg vega</t>
        </is>
      </c>
      <c r="C34" s="14" t="n"/>
      <c r="D34" s="14" t="n"/>
      <c r="E34" s="15" t="n"/>
    </row>
    <row r="35">
      <c r="A35" s="12">
        <f>opt_Rho(spot, optPrice, expiry, "C", strike, rate, divYield)</f>
        <v/>
      </c>
      <c r="B35" s="13" t="inlineStr">
        <is>
          <t>Leg rho</t>
        </is>
      </c>
      <c r="C35" s="14" t="n"/>
      <c r="D35" s="14" t="n"/>
      <c r="E35" s="15" t="n"/>
    </row>
    <row r="36">
      <c r="A36" s="12">
        <f>opt_ImpliedVolatility(spot, optPrice, expiry, "C", strike, rate, divYield)</f>
        <v/>
      </c>
      <c r="B36" s="13" t="inlineStr">
        <is>
          <t>Leg implied volatility</t>
        </is>
      </c>
      <c r="C36" s="14" t="n"/>
      <c r="D36" s="14" t="n"/>
      <c r="E36" s="15" t="n"/>
    </row>
    <row r="38">
      <c r="A38" s="16" t="inlineStr">
        <is>
          <t>Powered by MarketXLS   |   https://marketxls.com   |   Book a demo: https://marketxls.com/book-demo</t>
        </is>
      </c>
    </row>
  </sheetData>
  <mergeCells count="19">
    <mergeCell ref="A26:G28"/>
    <mergeCell ref="F10:G10"/>
    <mergeCell ref="A4:G4"/>
    <mergeCell ref="B33:E33"/>
    <mergeCell ref="F6:G6"/>
    <mergeCell ref="A38:G38"/>
    <mergeCell ref="B36:E36"/>
    <mergeCell ref="F7:G7"/>
    <mergeCell ref="B32:E32"/>
    <mergeCell ref="B35:E35"/>
    <mergeCell ref="A12:G13"/>
    <mergeCell ref="A30:G30"/>
    <mergeCell ref="A15:G15"/>
    <mergeCell ref="F8:G8"/>
    <mergeCell ref="B31:E31"/>
    <mergeCell ref="A1:G1"/>
    <mergeCell ref="F9:G9"/>
    <mergeCell ref="A2:G2"/>
    <mergeCell ref="B34:E3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37"/>
  <sheetViews>
    <sheetView workbookViewId="0">
      <pane ySplit="8" topLeftCell="A9" activePane="bottomLeft" state="frozen"/>
      <selection pane="bottomLeft" activeCell="A1" sqref="A1"/>
    </sheetView>
  </sheetViews>
  <sheetFormatPr baseColWidth="8" defaultRowHeight="15"/>
  <cols>
    <col width="16" customWidth="1" min="1" max="1"/>
    <col width="18" customWidth="1" min="2" max="2"/>
    <col width="18" customWidth="1" min="3" max="3"/>
    <col width="22" customWidth="1" min="4" max="4"/>
    <col width="22" customWidth="1" min="5" max="5"/>
    <col width="30" customWidth="1" min="6" max="6"/>
  </cols>
  <sheetData>
    <row r="1" ht="26" customHeight="1">
      <c r="A1" s="17" t="inlineStr">
        <is>
          <t>SKEW AND THE COST OF THE PROTECTIVE WING</t>
        </is>
      </c>
    </row>
    <row r="2" ht="26" customHeight="1">
      <c r="A2" s="2" t="inlineStr">
        <is>
          <t>SPY 2026-09-18 chain, implied volatility by strike</t>
        </is>
      </c>
    </row>
    <row r="4">
      <c r="A4" s="3" t="inlineStr">
        <is>
          <t>Every vertical spread buys one option to cap the risk of the option it sells. That protective wing is not priced at the same implied volatility as the leg you sold. On the put side implied volatility rises as strikes fall, so the wing you buy is more expensive in volatility terms than the leg you sold. On the call side it falls, so the wing is cheaper. This sheet measures that gap.</t>
        </is>
      </c>
    </row>
    <row r="5"/>
    <row r="6"/>
    <row r="8">
      <c r="A8" s="4" t="inlineStr">
        <is>
          <t>IMPLIED VOLATILITY BY STRIKE</t>
        </is>
      </c>
    </row>
    <row r="9" ht="30" customHeight="1">
      <c r="A9" s="5" t="inlineStr">
        <is>
          <t>Strike</t>
        </is>
      </c>
      <c r="B9" s="5" t="inlineStr">
        <is>
          <t>Call IV</t>
        </is>
      </c>
      <c r="C9" s="5" t="inlineStr">
        <is>
          <t>Put IV</t>
        </is>
      </c>
      <c r="D9" s="5" t="inlineStr">
        <is>
          <t>Distance from spot</t>
        </is>
      </c>
      <c r="E9" s="5" t="inlineStr">
        <is>
          <t>Percent from spot</t>
        </is>
      </c>
      <c r="F9" s="5" t="inlineStr">
        <is>
          <t>Position</t>
        </is>
      </c>
    </row>
    <row r="10">
      <c r="A10" s="52" t="n">
        <v>760</v>
      </c>
      <c r="B10" s="30" t="inlineStr">
        <is>
          <t>-</t>
        </is>
      </c>
      <c r="C10" s="30" t="n">
        <v>0.1419622198676935</v>
      </c>
      <c r="D10" s="25" t="n">
        <v>-16.34000000000003</v>
      </c>
      <c r="E10" s="30" t="n">
        <v>-0.02104747919725897</v>
      </c>
      <c r="F10" s="7" t="inlineStr">
        <is>
          <t>Below spot</t>
        </is>
      </c>
    </row>
    <row r="11">
      <c r="A11" s="53" t="n">
        <v>765</v>
      </c>
      <c r="B11" s="54" t="inlineStr">
        <is>
          <t>-</t>
        </is>
      </c>
      <c r="C11" s="54" t="n">
        <v>0.13685588551242</v>
      </c>
      <c r="D11" s="29" t="n">
        <v>-11.34000000000003</v>
      </c>
      <c r="E11" s="54" t="n">
        <v>-0.01460700208671462</v>
      </c>
      <c r="F11" s="9" t="inlineStr">
        <is>
          <t>Below spot</t>
        </is>
      </c>
    </row>
    <row r="12">
      <c r="A12" s="52" t="n">
        <v>770</v>
      </c>
      <c r="B12" s="30" t="inlineStr">
        <is>
          <t>-</t>
        </is>
      </c>
      <c r="C12" s="30" t="n">
        <v>0.1322424633915904</v>
      </c>
      <c r="D12" s="25" t="n">
        <v>-6.340000000000032</v>
      </c>
      <c r="E12" s="30" t="n">
        <v>-0.008166524976170276</v>
      </c>
      <c r="F12" s="7" t="inlineStr">
        <is>
          <t>Below spot</t>
        </is>
      </c>
    </row>
    <row r="13">
      <c r="A13" s="53" t="n">
        <v>775</v>
      </c>
      <c r="B13" s="54" t="n">
        <v>0.1282558240191263</v>
      </c>
      <c r="C13" s="54" t="n">
        <v>0.1282558240191269</v>
      </c>
      <c r="D13" s="29" t="n">
        <v>-1.340000000000032</v>
      </c>
      <c r="E13" s="54" t="n">
        <v>-0.001726047865625926</v>
      </c>
      <c r="F13" s="9" t="inlineStr">
        <is>
          <t>At the money</t>
        </is>
      </c>
    </row>
    <row r="14">
      <c r="A14" s="52" t="n">
        <v>780</v>
      </c>
      <c r="B14" s="30" t="n">
        <v>0.1236689554404246</v>
      </c>
      <c r="C14" s="30" t="n">
        <v>0.1249280544720006</v>
      </c>
      <c r="D14" s="25" t="n">
        <v>3.659999999999968</v>
      </c>
      <c r="E14" s="30" t="n">
        <v>0.004714429244918422</v>
      </c>
      <c r="F14" s="7" t="inlineStr">
        <is>
          <t>Above spot</t>
        </is>
      </c>
    </row>
    <row r="15">
      <c r="A15" s="53" t="n">
        <v>785</v>
      </c>
      <c r="B15" s="54" t="n">
        <v>0.1198012393081928</v>
      </c>
      <c r="C15" s="54" t="inlineStr">
        <is>
          <t>-</t>
        </is>
      </c>
      <c r="D15" s="29" t="n">
        <v>8.659999999999968</v>
      </c>
      <c r="E15" s="54" t="n">
        <v>0.01115490635546277</v>
      </c>
      <c r="F15" s="9" t="inlineStr">
        <is>
          <t>Above spot</t>
        </is>
      </c>
    </row>
    <row r="16">
      <c r="A16" s="52" t="n">
        <v>790</v>
      </c>
      <c r="B16" s="30" t="n">
        <v>0.1165995286176519</v>
      </c>
      <c r="C16" s="30" t="inlineStr">
        <is>
          <t>-</t>
        </is>
      </c>
      <c r="D16" s="25" t="n">
        <v>13.65999999999997</v>
      </c>
      <c r="E16" s="30" t="n">
        <v>0.01759538346600712</v>
      </c>
      <c r="F16" s="7" t="inlineStr">
        <is>
          <t>Above spot</t>
        </is>
      </c>
    </row>
    <row r="17">
      <c r="A17" s="53" t="n">
        <v>795</v>
      </c>
      <c r="B17" s="54" t="n">
        <v>0.1138441360804167</v>
      </c>
      <c r="C17" s="54" t="inlineStr">
        <is>
          <t>-</t>
        </is>
      </c>
      <c r="D17" s="29" t="n">
        <v>18.65999999999997</v>
      </c>
      <c r="E17" s="54" t="n">
        <v>0.02403586057655147</v>
      </c>
      <c r="F17" s="9" t="inlineStr">
        <is>
          <t>Above spot</t>
        </is>
      </c>
    </row>
    <row r="18">
      <c r="A18" s="52" t="n">
        <v>800</v>
      </c>
      <c r="B18" s="30" t="n">
        <v>0.1116745534351073</v>
      </c>
      <c r="C18" s="30" t="inlineStr">
        <is>
          <t>-</t>
        </is>
      </c>
      <c r="D18" s="25" t="n">
        <v>23.65999999999997</v>
      </c>
      <c r="E18" s="30" t="n">
        <v>0.03047633768709582</v>
      </c>
      <c r="F18" s="7" t="inlineStr">
        <is>
          <t>Above spot</t>
        </is>
      </c>
    </row>
    <row r="20">
      <c r="A20" s="11" t="inlineStr">
        <is>
          <t>WHAT THE WING COSTS ON EACH CREDIT SPREAD</t>
        </is>
      </c>
    </row>
    <row r="21" ht="30" customHeight="1">
      <c r="A21" s="5" t="inlineStr">
        <is>
          <t>Credit spread</t>
        </is>
      </c>
      <c r="B21" s="5" t="inlineStr">
        <is>
          <t>Sold leg IV</t>
        </is>
      </c>
      <c r="C21" s="5" t="inlineStr">
        <is>
          <t>Bought wing IV</t>
        </is>
      </c>
      <c r="D21" s="5" t="inlineStr">
        <is>
          <t>Wing premium in vol points</t>
        </is>
      </c>
      <c r="E21" s="5" t="inlineStr">
        <is>
          <t>Credit received</t>
        </is>
      </c>
      <c r="F21" s="5" t="inlineStr">
        <is>
          <t>Credit as percent of width</t>
        </is>
      </c>
    </row>
    <row r="22">
      <c r="A22" s="6" t="inlineStr">
        <is>
          <t>790/800 call</t>
        </is>
      </c>
      <c r="B22" s="30" t="n">
        <v>0.1165995286176519</v>
      </c>
      <c r="C22" s="30" t="n">
        <v>0.1116745534351073</v>
      </c>
      <c r="D22" s="55" t="n">
        <v>-0.004924975182544589</v>
      </c>
      <c r="E22" s="25" t="n">
        <v>2.92</v>
      </c>
      <c r="F22" s="32" t="n">
        <v>0.292</v>
      </c>
    </row>
    <row r="23">
      <c r="A23" s="8" t="inlineStr">
        <is>
          <t>770/760 put</t>
        </is>
      </c>
      <c r="B23" s="54" t="n">
        <v>0.1322424633915904</v>
      </c>
      <c r="C23" s="54" t="n">
        <v>0.1419622198676935</v>
      </c>
      <c r="D23" s="56" t="n">
        <v>0.009719756476103125</v>
      </c>
      <c r="E23" s="29" t="n">
        <v>2.66</v>
      </c>
      <c r="F23" s="39" t="n">
        <v>0.266</v>
      </c>
    </row>
    <row r="25">
      <c r="A25" s="3" t="inlineStr">
        <is>
          <t>Both credit spreads are 10 points wide and both short legs sit within two percent of spot. The call side wing prices 0.49 volatility points below the leg sold, and the put side wing prices 0.97 points above it. That is the whole reason the call credit spread collects $2.92 while the put credit spread, whose short leg is closer to the money, collects only $2.66. Skew is not a detail on a spread. It is the price of the second leg.</t>
        </is>
      </c>
    </row>
    <row r="26"/>
    <row r="27"/>
    <row r="29">
      <c r="A29" s="11" t="inlineStr">
        <is>
          <t>MarketXLS Functions Used in This Sheet</t>
        </is>
      </c>
    </row>
    <row r="30">
      <c r="A30" s="12">
        <f>opt_ImpliedVolatility(spot, optPrice, expiry, type, strike, rate, divYield)</f>
        <v/>
      </c>
      <c r="B30" s="13" t="inlineStr">
        <is>
          <t>IV solved per strike</t>
        </is>
      </c>
      <c r="C30" s="14" t="n"/>
      <c r="D30" s="14" t="n"/>
      <c r="E30" s="15" t="n"/>
    </row>
    <row r="31">
      <c r="A31" s="12">
        <f>ImpliedVolatility30d("SPY")</f>
        <v/>
      </c>
      <c r="B31" s="13" t="inlineStr">
        <is>
          <t>30 day implied volatility on the underlying</t>
        </is>
      </c>
      <c r="C31" s="14" t="n"/>
      <c r="D31" s="14" t="n"/>
      <c r="E31" s="15" t="n"/>
    </row>
    <row r="32">
      <c r="A32" s="12">
        <f>ImpliedVolatilityRank1y("SPY")</f>
        <v/>
      </c>
      <c r="B32" s="13" t="inlineStr">
        <is>
          <t>Where current IV sits in its one year range</t>
        </is>
      </c>
      <c r="C32" s="14" t="n"/>
      <c r="D32" s="14" t="n"/>
      <c r="E32" s="15" t="n"/>
    </row>
    <row r="33">
      <c r="A33" s="12">
        <f>StockVolatilityThirtyDays("SPY")</f>
        <v/>
      </c>
      <c r="B33" s="13" t="inlineStr">
        <is>
          <t>30 day realized volatility for comparison</t>
        </is>
      </c>
      <c r="C33" s="14" t="n"/>
      <c r="D33" s="14" t="n"/>
      <c r="E33" s="15" t="n"/>
    </row>
    <row r="34">
      <c r="A34" s="12">
        <f>Strikes("SPY", expiry)</f>
        <v/>
      </c>
      <c r="B34" s="13" t="inlineStr">
        <is>
          <t>Listed strikes for the expiry</t>
        </is>
      </c>
      <c r="C34" s="14" t="n"/>
      <c r="D34" s="14" t="n"/>
      <c r="E34" s="15" t="n"/>
    </row>
    <row r="35">
      <c r="A35" s="12">
        <f>opt_PutCallOIRatio("SPY")</f>
        <v/>
      </c>
      <c r="B35" s="13" t="inlineStr">
        <is>
          <t>Put to call open interest ratio</t>
        </is>
      </c>
      <c r="C35" s="14" t="n"/>
      <c r="D35" s="14" t="n"/>
      <c r="E35" s="15" t="n"/>
    </row>
    <row r="37">
      <c r="A37" s="16" t="inlineStr">
        <is>
          <t>Powered by MarketXLS   |   https://marketxls.com   |   Book a demo: https://marketxls.com/book-demo</t>
        </is>
      </c>
    </row>
  </sheetData>
  <mergeCells count="14">
    <mergeCell ref="A2:F2"/>
    <mergeCell ref="B31:E31"/>
    <mergeCell ref="B35:E35"/>
    <mergeCell ref="A1:F1"/>
    <mergeCell ref="A4:F6"/>
    <mergeCell ref="B30:E30"/>
    <mergeCell ref="A37:F37"/>
    <mergeCell ref="A8:F8"/>
    <mergeCell ref="B33:E33"/>
    <mergeCell ref="A25:F27"/>
    <mergeCell ref="B34:E34"/>
    <mergeCell ref="A20:F20"/>
    <mergeCell ref="A29:F29"/>
    <mergeCell ref="B32:E3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7"/>
  <sheetViews>
    <sheetView workbookViewId="0">
      <pane ySplit="7" topLeftCell="A8" activePane="bottomLeft" state="frozen"/>
      <selection pane="bottomLeft" activeCell="A1" sqref="A1"/>
    </sheetView>
  </sheetViews>
  <sheetFormatPr baseColWidth="8" defaultRowHeight="15"/>
  <cols>
    <col width="68" customWidth="1" min="1" max="1"/>
    <col width="62" customWidth="1" min="2" max="2"/>
    <col width="20" customWidth="1" min="3" max="3"/>
  </cols>
  <sheetData>
    <row r="1" ht="26" customHeight="1">
      <c r="A1" s="17" t="inlineStr">
        <is>
          <t>MARKETXLS FORMULA REFERENCE</t>
        </is>
      </c>
    </row>
    <row r="2" ht="26" customHeight="1">
      <c r="A2" s="2" t="inlineStr">
        <is>
          <t>Every function used in this workbook, with its exact argument order</t>
        </is>
      </c>
    </row>
    <row r="4">
      <c r="A4" s="3" t="inlineStr">
        <is>
          <t>Argument order matters on the opt_ family. All six take eight arguments and the dividend yield sits between the risk free rate and sigma. Leave sigma empty and MarketXLS solves for it from the option price you passed.</t>
        </is>
      </c>
    </row>
    <row r="5"/>
    <row r="7" ht="30" customHeight="1">
      <c r="A7" s="5" t="inlineStr">
        <is>
          <t>Formula</t>
        </is>
      </c>
      <c r="B7" s="5" t="inlineStr">
        <is>
          <t>What it returns</t>
        </is>
      </c>
      <c r="C7" s="5" t="inlineStr">
        <is>
          <t>Sheet</t>
        </is>
      </c>
    </row>
    <row r="8">
      <c r="A8" s="12">
        <f>OptionSymbol("SPY","2026-09-18","C",775)</f>
        <v/>
      </c>
      <c r="B8" s="7" t="inlineStr">
        <is>
          <t>Builds the QuoteMedia contract symbol every option formula needs</t>
        </is>
      </c>
      <c r="C8" s="7" t="inlineStr">
        <is>
          <t>All</t>
        </is>
      </c>
    </row>
    <row r="9">
      <c r="A9" s="57">
        <f>QM_Bid(optionSymbol)</f>
        <v/>
      </c>
      <c r="B9" s="9" t="inlineStr">
        <is>
          <t>Live bid on one contract</t>
        </is>
      </c>
      <c r="C9" s="9" t="inlineStr">
        <is>
          <t>Calculator</t>
        </is>
      </c>
    </row>
    <row r="10">
      <c r="A10" s="12">
        <f>QM_Ask(optionSymbol)</f>
        <v/>
      </c>
      <c r="B10" s="7" t="inlineStr">
        <is>
          <t>Live ask on one contract</t>
        </is>
      </c>
      <c r="C10" s="7" t="inlineStr">
        <is>
          <t>Calculator</t>
        </is>
      </c>
    </row>
    <row r="11">
      <c r="A11" s="57">
        <f>QM_Last(optionSymbol)</f>
        <v/>
      </c>
      <c r="B11" s="9" t="inlineStr">
        <is>
          <t>Last traded price on one contract</t>
        </is>
      </c>
      <c r="C11" s="9" t="inlineStr">
        <is>
          <t>All</t>
        </is>
      </c>
    </row>
    <row r="12">
      <c r="A12" s="12">
        <f>QM_Last("SPY")</f>
        <v/>
      </c>
      <c r="B12" s="7" t="inlineStr">
        <is>
          <t>Underlying price</t>
        </is>
      </c>
      <c r="C12" s="7" t="inlineStr">
        <is>
          <t>All</t>
        </is>
      </c>
    </row>
    <row r="13">
      <c r="A13" s="57">
        <f>QM_OpenInterest(optionSymbol)</f>
        <v/>
      </c>
      <c r="B13" s="9" t="inlineStr">
        <is>
          <t>Open interest, the liquidity check on each leg</t>
        </is>
      </c>
      <c r="C13" s="9" t="inlineStr">
        <is>
          <t>Calculator</t>
        </is>
      </c>
    </row>
    <row r="14">
      <c r="A14" s="12">
        <f>OPT_DaysToExpiration(optionSymbol)</f>
        <v/>
      </c>
      <c r="B14" s="7" t="inlineStr">
        <is>
          <t>Calendar days left on the spread</t>
        </is>
      </c>
      <c r="C14" s="7" t="inlineStr">
        <is>
          <t>Calculator</t>
        </is>
      </c>
    </row>
    <row r="15">
      <c r="A15" s="57">
        <f>OPT_IntrinsicValue(optionSymbol, spot)</f>
        <v/>
      </c>
      <c r="B15" s="9" t="inlineStr">
        <is>
          <t>Intrinsic value of one leg</t>
        </is>
      </c>
      <c r="C15" s="9" t="inlineStr">
        <is>
          <t>Payoff Table</t>
        </is>
      </c>
    </row>
    <row r="16">
      <c r="A16" s="12">
        <f>OPT_TimeValue(optionSymbol, optPrice, spot)</f>
        <v/>
      </c>
      <c r="B16" s="7" t="inlineStr">
        <is>
          <t>Time value of one leg</t>
        </is>
      </c>
      <c r="C16" s="7" t="inlineStr">
        <is>
          <t>Payoff Table</t>
        </is>
      </c>
    </row>
    <row r="17">
      <c r="A17" s="57">
        <f>opt_Delta(spot, optPrice, expiry, "C", strike, rate, divYield)</f>
        <v/>
      </c>
      <c r="B17" s="9" t="inlineStr">
        <is>
          <t>Leg delta</t>
        </is>
      </c>
      <c r="C17" s="9" t="inlineStr">
        <is>
          <t>Greeks</t>
        </is>
      </c>
    </row>
    <row r="18">
      <c r="A18" s="12">
        <f>opt_Gamma(spot, optPrice, expiry, "C", strike, rate, divYield)</f>
        <v/>
      </c>
      <c r="B18" s="7" t="inlineStr">
        <is>
          <t>Leg gamma</t>
        </is>
      </c>
      <c r="C18" s="7" t="inlineStr">
        <is>
          <t>Greeks</t>
        </is>
      </c>
    </row>
    <row r="19">
      <c r="A19" s="57">
        <f>opt_Theta(spot, optPrice, expiry, "C", strike, rate, divYield)</f>
        <v/>
      </c>
      <c r="B19" s="9" t="inlineStr">
        <is>
          <t>Leg theta</t>
        </is>
      </c>
      <c r="C19" s="9" t="inlineStr">
        <is>
          <t>Greeks</t>
        </is>
      </c>
    </row>
    <row r="20">
      <c r="A20" s="12">
        <f>opt_Vega(spot, optPrice, expiry, "C", strike, rate, divYield)</f>
        <v/>
      </c>
      <c r="B20" s="7" t="inlineStr">
        <is>
          <t>Leg vega</t>
        </is>
      </c>
      <c r="C20" s="7" t="inlineStr">
        <is>
          <t>Greeks</t>
        </is>
      </c>
    </row>
    <row r="21">
      <c r="A21" s="57">
        <f>opt_Rho(spot, optPrice, expiry, "C", strike, rate, divYield)</f>
        <v/>
      </c>
      <c r="B21" s="9" t="inlineStr">
        <is>
          <t>Leg rho</t>
        </is>
      </c>
      <c r="C21" s="9" t="inlineStr">
        <is>
          <t>Greeks</t>
        </is>
      </c>
    </row>
    <row r="22">
      <c r="A22" s="12">
        <f>opt_ImpliedVolatility(spot, optPrice, expiry, "C", strike, rate, divYield)</f>
        <v/>
      </c>
      <c r="B22" s="7" t="inlineStr">
        <is>
          <t>Leg implied volatility</t>
        </is>
      </c>
      <c r="C22" s="7" t="inlineStr">
        <is>
          <t>Skew</t>
        </is>
      </c>
    </row>
    <row r="23">
      <c r="A23" s="57">
        <f>ImpliedVolatility30d("SPY")</f>
        <v/>
      </c>
      <c r="B23" s="9" t="inlineStr">
        <is>
          <t>30 day implied volatility on the underlying</t>
        </is>
      </c>
      <c r="C23" s="9" t="inlineStr">
        <is>
          <t>Skew</t>
        </is>
      </c>
    </row>
    <row r="24">
      <c r="A24" s="12">
        <f>ImpliedVolatilityRank1y("SPY")</f>
        <v/>
      </c>
      <c r="B24" s="7" t="inlineStr">
        <is>
          <t>Where current IV sits in its one year range</t>
        </is>
      </c>
      <c r="C24" s="7" t="inlineStr">
        <is>
          <t>Skew</t>
        </is>
      </c>
    </row>
    <row r="25">
      <c r="A25" s="57">
        <f>StockVolatilityThirtyDays("SPY")</f>
        <v/>
      </c>
      <c r="B25" s="9" t="inlineStr">
        <is>
          <t>30 day realized volatility</t>
        </is>
      </c>
      <c r="C25" s="9" t="inlineStr">
        <is>
          <t>Skew</t>
        </is>
      </c>
    </row>
    <row r="26">
      <c r="A26" s="12">
        <f>AverageDailyVolume("SPY")</f>
        <v/>
      </c>
      <c r="B26" s="7" t="inlineStr">
        <is>
          <t>Average daily share volume</t>
        </is>
      </c>
      <c r="C26" s="7" t="inlineStr">
        <is>
          <t>How To Use</t>
        </is>
      </c>
    </row>
    <row r="27">
      <c r="A27" s="57">
        <f>ExpirationNext("SPY",1)</f>
        <v/>
      </c>
      <c r="B27" s="9" t="inlineStr">
        <is>
          <t>Next listed expiration date</t>
        </is>
      </c>
      <c r="C27" s="9" t="inlineStr">
        <is>
          <t>How To Use</t>
        </is>
      </c>
    </row>
    <row r="28">
      <c r="A28" s="12">
        <f>opt_PutCallOIRatio("SPY")</f>
        <v/>
      </c>
      <c r="B28" s="7" t="inlineStr">
        <is>
          <t>Put to call open interest ratio</t>
        </is>
      </c>
      <c r="C28" s="7" t="inlineStr">
        <is>
          <t>Skew</t>
        </is>
      </c>
    </row>
    <row r="29">
      <c r="A29" s="57">
        <f>earnings_date("SPY")</f>
        <v/>
      </c>
      <c r="B29" s="9" t="inlineStr">
        <is>
          <t>Next earnings date, the event risk check</t>
        </is>
      </c>
      <c r="C29" s="9" t="inlineStr">
        <is>
          <t>How To Use</t>
        </is>
      </c>
    </row>
    <row r="31">
      <c r="A31" s="4" t="inlineStr">
        <is>
          <t>Learn More</t>
        </is>
      </c>
    </row>
    <row r="32">
      <c r="A32" s="58" t="inlineStr">
        <is>
          <t>MarketXLS</t>
        </is>
      </c>
      <c r="B32" s="59" t="inlineStr">
        <is>
          <t>https://marketxls.com</t>
        </is>
      </c>
      <c r="C32" s="60" t="n"/>
    </row>
    <row r="33">
      <c r="A33" s="58" t="inlineStr">
        <is>
          <t>Book a demo</t>
        </is>
      </c>
      <c r="B33" s="59" t="inlineStr">
        <is>
          <t>https://marketxls.com/book-demo</t>
        </is>
      </c>
      <c r="C33" s="60" t="n"/>
    </row>
    <row r="34">
      <c r="A34" s="58" t="inlineStr">
        <is>
          <t>Function documentation</t>
        </is>
      </c>
      <c r="B34" s="59" t="inlineStr">
        <is>
          <t>https://marketxls.com/functions</t>
        </is>
      </c>
      <c r="C34" s="60" t="n"/>
    </row>
    <row r="35">
      <c r="A35" s="58" t="inlineStr">
        <is>
          <t>OptionXLS</t>
        </is>
      </c>
      <c r="B35" s="59" t="inlineStr">
        <is>
          <t>https://optionxls.com</t>
        </is>
      </c>
      <c r="C35" s="60" t="n"/>
    </row>
    <row r="37">
      <c r="A37" s="16" t="inlineStr">
        <is>
          <t>Powered by MarketXLS   |   https://marketxls.com   |   Book a demo: https://marketxls.com/book-demo</t>
        </is>
      </c>
    </row>
  </sheetData>
  <mergeCells count="5">
    <mergeCell ref="A1:C1"/>
    <mergeCell ref="A37:C37"/>
    <mergeCell ref="A31:C31"/>
    <mergeCell ref="A4:C5"/>
    <mergeCell ref="A2:C2"/>
  </mergeCells>
  <hyperlinks>
    <hyperlink xmlns:r="http://schemas.openxmlformats.org/officeDocument/2006/relationships" ref="B32" r:id="rId1"/>
    <hyperlink xmlns:r="http://schemas.openxmlformats.org/officeDocument/2006/relationships" ref="B33" r:id="rId2"/>
    <hyperlink xmlns:r="http://schemas.openxmlformats.org/officeDocument/2006/relationships" ref="B34" r:id="rId3"/>
    <hyperlink xmlns:r="http://schemas.openxmlformats.org/officeDocument/2006/relationships" ref="B35" r:id="rId4"/>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2026-08-15T17:50:28Z</dcterms:created>
  <dcterms:modified xsi:type="dcterms:W3CDTF">2026-08-15T17:50:28Z</dcterms:modified>
</cp:coreProperties>
</file>