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Breakeven Calculator" sheetId="2" state="visible" r:id="rId2"/>
    <sheet name="Pre-Expiry Breakeven" sheetId="3" state="visible" r:id="rId3"/>
    <sheet name="Scenario Analysis" sheetId="4" state="visible" r:id="rId4"/>
    <sheet name="Strategy Comparison" sheetId="5" state="visible" r:id="rId5"/>
    <sheet name="Position Sizing" sheetId="6" state="visible" r:id="rId6"/>
    <sheet name="IV Consistency Check" sheetId="7" state="visible" r:id="rId7"/>
  </sheets>
  <definedNames/>
  <calcPr calcId="124519" fullCalcOnLoad="1"/>
</workbook>
</file>

<file path=xl/styles.xml><?xml version="1.0" encoding="utf-8"?>
<styleSheet xmlns="http://schemas.openxmlformats.org/spreadsheetml/2006/main">
  <numFmts count="2">
    <numFmt numFmtId="164" formatCode="&quot;$&quot;#,##0.00"/>
    <numFmt numFmtId="165" formatCode="0.0000"/>
  </numFmts>
  <fonts count="14">
    <font>
      <name val="Calibri"/>
      <family val="2"/>
      <color theme="1"/>
      <sz val="11"/>
      <scheme val="minor"/>
    </font>
    <font>
      <b val="1"/>
      <color rgb="00FFFFFF"/>
      <sz val="14"/>
    </font>
    <font>
      <b val="1"/>
      <color rgb="00003D7A"/>
      <sz val="12"/>
    </font>
    <font>
      <b val="1"/>
      <color rgb="00FFFFFF"/>
      <sz val="11"/>
    </font>
    <font>
      <b val="1"/>
    </font>
    <font>
      <b val="1"/>
      <color rgb="00C00000"/>
    </font>
    <font>
      <b val="1"/>
      <color rgb="00003D7A"/>
      <sz val="11"/>
    </font>
    <font>
      <name val="Consolas"/>
      <sz val="10"/>
    </font>
    <font>
      <i val="1"/>
      <sz val="10"/>
    </font>
    <font>
      <color rgb="000066CC"/>
      <sz val="10"/>
    </font>
    <font>
      <color rgb="00C00000"/>
    </font>
    <font>
      <i val="1"/>
    </font>
    <font>
      <color rgb="00006100"/>
    </font>
    <font>
      <b val="1"/>
      <color rgb="00003D7A"/>
    </font>
  </fonts>
  <fills count="7">
    <fill>
      <patternFill/>
    </fill>
    <fill>
      <patternFill patternType="gray125"/>
    </fill>
    <fill>
      <patternFill patternType="solid">
        <fgColor rgb="00003D7A"/>
      </patternFill>
    </fill>
    <fill>
      <patternFill patternType="solid">
        <fgColor rgb="000066CC"/>
      </patternFill>
    </fill>
    <fill>
      <patternFill patternType="solid">
        <fgColor rgb="00E8F1FB"/>
      </patternFill>
    </fill>
    <fill>
      <patternFill patternType="solid">
        <fgColor rgb="00F2F2F2"/>
      </patternFill>
    </fill>
    <fill>
      <patternFill patternType="solid">
        <fgColor rgb="00FFFF00"/>
      </patternFill>
    </fill>
  </fills>
  <borders count="3">
    <border>
      <left/>
      <right/>
      <top/>
      <bottom/>
      <diagonal/>
    </border>
    <border>
      <left style="thin">
        <color rgb="00B0B0B0"/>
      </left>
      <right style="thin">
        <color rgb="00B0B0B0"/>
      </right>
      <top style="thin">
        <color rgb="00B0B0B0"/>
      </top>
      <bottom style="thin">
        <color rgb="00B0B0B0"/>
      </bottom>
    </border>
    <border>
      <left style="medium">
        <color rgb="00000000"/>
      </left>
      <right style="medium">
        <color rgb="00000000"/>
      </right>
      <top style="medium">
        <color rgb="00000000"/>
      </top>
      <bottom style="medium">
        <color rgb="00000000"/>
      </bottom>
    </border>
  </borders>
  <cellStyleXfs count="1">
    <xf numFmtId="0" fontId="0" fillId="0" borderId="0"/>
  </cellStyleXfs>
  <cellXfs count="43">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3" fillId="3" borderId="1" applyAlignment="1" pivotButton="0" quotePrefix="0" xfId="0">
      <alignment horizontal="center" vertical="center" wrapText="1"/>
    </xf>
    <xf numFmtId="0" fontId="4" fillId="0" borderId="0" pivotButton="0" quotePrefix="0" xfId="0"/>
    <xf numFmtId="0" fontId="0" fillId="0" borderId="0" applyAlignment="1" pivotButton="0" quotePrefix="0" xfId="0">
      <alignment vertical="top" wrapText="1"/>
    </xf>
    <xf numFmtId="0" fontId="4" fillId="4" borderId="0" pivotButton="0" quotePrefix="0" xfId="0"/>
    <xf numFmtId="0" fontId="0" fillId="4" borderId="0" pivotButton="0" quotePrefix="0" xfId="0"/>
    <xf numFmtId="0" fontId="0" fillId="4" borderId="0" applyAlignment="1" pivotButton="0" quotePrefix="0" xfId="0">
      <alignment vertical="top" wrapText="1"/>
    </xf>
    <xf numFmtId="0" fontId="5" fillId="0" borderId="0" pivotButton="0" quotePrefix="0" xfId="0"/>
    <xf numFmtId="0" fontId="6" fillId="0" borderId="0" pivotButton="0" quotePrefix="0" xfId="0"/>
    <xf numFmtId="0" fontId="7" fillId="5" borderId="0" pivotButton="0" quotePrefix="0" xfId="0"/>
    <xf numFmtId="0" fontId="8" fillId="0" borderId="0" pivotButton="0" quotePrefix="0" xfId="0"/>
    <xf numFmtId="0" fontId="9" fillId="0" borderId="0" pivotButton="0" quotePrefix="0" xfId="0"/>
    <xf numFmtId="0" fontId="4" fillId="6" borderId="2" pivotButton="0" quotePrefix="0" xfId="0"/>
    <xf numFmtId="164" fontId="4" fillId="0" borderId="0" pivotButton="0" quotePrefix="0" xfId="0"/>
    <xf numFmtId="164" fontId="4" fillId="6" borderId="2" pivotButton="0" quotePrefix="0" xfId="0"/>
    <xf numFmtId="0" fontId="4" fillId="0" borderId="1" pivotButton="0" quotePrefix="0" xfId="0"/>
    <xf numFmtId="0" fontId="0" fillId="0" borderId="1" pivotButton="0" quotePrefix="0" xfId="0"/>
    <xf numFmtId="164" fontId="0" fillId="0" borderId="1" pivotButton="0" quotePrefix="0" xfId="0"/>
    <xf numFmtId="0" fontId="0" fillId="0" borderId="1" applyAlignment="1" pivotButton="0" quotePrefix="0" xfId="0">
      <alignment horizontal="right"/>
    </xf>
    <xf numFmtId="164" fontId="10" fillId="0" borderId="1" pivotButton="0" quotePrefix="0" xfId="0"/>
    <xf numFmtId="10" fontId="0" fillId="0" borderId="1" pivotButton="0" quotePrefix="0" xfId="0"/>
    <xf numFmtId="0" fontId="4" fillId="4" borderId="1" pivotButton="0" quotePrefix="0" xfId="0"/>
    <xf numFmtId="0" fontId="0" fillId="4" borderId="1" pivotButton="0" quotePrefix="0" xfId="0"/>
    <xf numFmtId="164" fontId="0" fillId="4" borderId="1" pivotButton="0" quotePrefix="0" xfId="0"/>
    <xf numFmtId="0" fontId="0" fillId="4" borderId="1" applyAlignment="1" pivotButton="0" quotePrefix="0" xfId="0">
      <alignment horizontal="right"/>
    </xf>
    <xf numFmtId="164" fontId="10" fillId="4" borderId="1" pivotButton="0" quotePrefix="0" xfId="0"/>
    <xf numFmtId="10" fontId="0" fillId="4" borderId="1" pivotButton="0" quotePrefix="0" xfId="0"/>
    <xf numFmtId="165" fontId="0" fillId="0" borderId="1" pivotButton="0" quotePrefix="0" xfId="0"/>
    <xf numFmtId="165" fontId="0" fillId="4" borderId="1" pivotButton="0" quotePrefix="0" xfId="0"/>
    <xf numFmtId="0" fontId="0" fillId="0" borderId="0" applyAlignment="1" pivotButton="0" quotePrefix="0" xfId="0">
      <alignment wrapText="1"/>
    </xf>
    <xf numFmtId="0" fontId="11" fillId="0" borderId="0" pivotButton="0" quotePrefix="0" xfId="0"/>
    <xf numFmtId="0" fontId="8" fillId="0" borderId="1" pivotButton="0" quotePrefix="0" xfId="0"/>
    <xf numFmtId="0" fontId="8" fillId="4" borderId="1" pivotButton="0" quotePrefix="0" xfId="0"/>
    <xf numFmtId="164" fontId="12" fillId="0" borderId="1" pivotButton="0" quotePrefix="0" xfId="0"/>
    <xf numFmtId="164" fontId="12" fillId="4" borderId="1" pivotButton="0" quotePrefix="0" xfId="0"/>
    <xf numFmtId="0" fontId="0" fillId="0" borderId="1" applyAlignment="1" pivotButton="0" quotePrefix="0" xfId="0">
      <alignment wrapText="1"/>
    </xf>
    <xf numFmtId="0" fontId="0" fillId="4" borderId="1" applyAlignment="1" pivotButton="0" quotePrefix="0" xfId="0">
      <alignment wrapText="1"/>
    </xf>
    <xf numFmtId="10" fontId="4" fillId="6" borderId="2" pivotButton="0" quotePrefix="0" xfId="0"/>
    <xf numFmtId="164" fontId="13" fillId="0" borderId="0" pivotButton="0" quotePrefix="0" xfId="0"/>
    <xf numFmtId="164" fontId="0" fillId="0" borderId="0" pivotButton="0" quotePrefix="0" xfId="0"/>
    <xf numFmtId="1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showGridLines="0" workbookViewId="0">
      <selection activeCell="A1" sqref="A1"/>
    </sheetView>
  </sheetViews>
  <sheetFormatPr baseColWidth="8" defaultRowHeight="15"/>
  <cols>
    <col width="26" customWidth="1" min="1" max="1"/>
    <col width="4" customWidth="1" min="2" max="2"/>
    <col width="96" customWidth="1" min="3" max="3"/>
  </cols>
  <sheetData>
    <row r="1" ht="26" customHeight="1">
      <c r="A1" s="1" t="inlineStr">
        <is>
          <t>OPTIONS BREAKEVEN CALCULATOR</t>
        </is>
      </c>
    </row>
    <row r="2">
      <c r="A2" s="2" t="inlineStr">
        <is>
          <t>MarketXLS Formula Version</t>
        </is>
      </c>
    </row>
    <row r="4" ht="30" customHeight="1">
      <c r="A4" s="3" t="inlineStr">
        <is>
          <t>Sheet or topic</t>
        </is>
      </c>
      <c r="B4" s="3" t="inlineStr"/>
      <c r="C4" s="3" t="inlineStr">
        <is>
          <t>What it does</t>
        </is>
      </c>
    </row>
    <row r="5" ht="32" customHeight="1">
      <c r="A5" s="4" t="inlineStr">
        <is>
          <t>What this does</t>
        </is>
      </c>
      <c r="C5" s="5" t="inlineStr">
        <is>
          <t>Computes the breakeven price for eight option structures from one set of inputs, then reports max profit, max loss, the odds of finishing past breakeven and the odds of touching it.</t>
        </is>
      </c>
    </row>
    <row r="6" ht="32" customHeight="1">
      <c r="A6" s="6" t="inlineStr">
        <is>
          <t>Why breakeven</t>
        </is>
      </c>
      <c r="B6" s="7" t="n"/>
      <c r="C6" s="8" t="inlineStr">
        <is>
          <t>Breakeven is the only output that converts a premium into a price the underlying has to reach. Every other number is abstract until you see it.</t>
        </is>
      </c>
    </row>
    <row r="7" ht="32" customHeight="1">
      <c r="A7" s="4" t="inlineStr">
        <is>
          <t>Breakeven Calculator</t>
        </is>
      </c>
      <c r="C7" s="5" t="inlineStr">
        <is>
          <t>The main sheet. Yellow cells are inputs. Change the underlying price, the strikes, the premiums and the commission, and every structure reprices.</t>
        </is>
      </c>
    </row>
    <row r="8" ht="32" customHeight="1">
      <c r="A8" s="6" t="inlineStr">
        <is>
          <t>Pre-Expiry Breakeven</t>
        </is>
      </c>
      <c r="B8" s="7" t="n"/>
      <c r="C8" s="8" t="inlineStr">
        <is>
          <t>The breakeven you are quoted is the expiration breakeven. Before expiry the position breaks even at a lower price because time value has not gone yet. This sheet shows that gap closing.</t>
        </is>
      </c>
    </row>
    <row r="9" ht="32" customHeight="1">
      <c r="A9" s="4" t="inlineStr">
        <is>
          <t>Scenario Analysis</t>
        </is>
      </c>
      <c r="C9" s="5" t="inlineStr">
        <is>
          <t>Profit and loss across a price ladder for every structure, so you can see how far past breakeven the payoff actually goes.</t>
        </is>
      </c>
    </row>
    <row r="10" ht="32" customHeight="1">
      <c r="A10" s="6" t="inlineStr">
        <is>
          <t>Strategy Comparison</t>
        </is>
      </c>
      <c r="B10" s="7" t="n"/>
      <c r="C10" s="8" t="inlineStr">
        <is>
          <t>All eight structures side by side on breakeven, max profit, max loss and probability. Two of them share a breakeven and bet in opposite directions. Read the direction column.</t>
        </is>
      </c>
    </row>
    <row r="11" ht="32" customHeight="1">
      <c r="A11" s="4" t="inlineStr">
        <is>
          <t>Position Sizing</t>
        </is>
      </c>
      <c r="C11" s="5" t="inlineStr">
        <is>
          <t>Turns a risk budget into a contract count using the max loss of each structure, not the premium.</t>
        </is>
      </c>
    </row>
    <row r="12" ht="32" customHeight="1">
      <c r="A12" s="6" t="inlineStr">
        <is>
          <t>Commissions</t>
        </is>
      </c>
      <c r="B12" s="7" t="n"/>
      <c r="C12" s="8" t="inlineStr">
        <is>
          <t>Set your per contract fee in the yellow cell. Breakeven moves by fees divided by 100, and multi leg structures pay the fee on every leg.</t>
        </is>
      </c>
    </row>
    <row r="13" ht="32" customHeight="1">
      <c r="A13" s="4" t="inlineStr">
        <is>
          <t>Live data</t>
        </is>
      </c>
      <c r="C13" s="5" t="inlineStr">
        <is>
          <t>Option premiums come from OptionSymbol() plus Bid() and Ask(). Greeks come from the opt_ family. Recalculate to refresh.</t>
        </is>
      </c>
    </row>
    <row r="15">
      <c r="A15" s="9" t="inlineStr">
        <is>
          <t>Educational use only.</t>
        </is>
      </c>
      <c r="C15" t="inlineStr">
        <is>
          <t>This workbook is an analysis tool, not financial advice. Option positions can lose their entire value. Verify every quote with your broker before trading.</t>
        </is>
      </c>
    </row>
    <row r="17">
      <c r="A17" s="10" t="inlineStr">
        <is>
          <t>MarketXLS Functions Used in This Sheet:</t>
        </is>
      </c>
    </row>
    <row r="18">
      <c r="A18" s="11">
        <f>OptionSymbol("SPY","2026-09-11","Call",780)</f>
        <v/>
      </c>
      <c r="C18" s="12" t="inlineStr">
        <is>
          <t>Build the contract symbol</t>
        </is>
      </c>
    </row>
    <row r="19">
      <c r="A19" s="11">
        <f>Bid(OptionSymbol(...))</f>
        <v/>
      </c>
      <c r="C19" s="12" t="inlineStr">
        <is>
          <t>Live bid for that contract</t>
        </is>
      </c>
    </row>
    <row r="20">
      <c r="A20" s="11">
        <f>Ask(OptionSymbol(...))</f>
        <v/>
      </c>
      <c r="C20" s="12" t="inlineStr">
        <is>
          <t>Live ask for that contract</t>
        </is>
      </c>
    </row>
    <row r="21">
      <c r="A21" s="11">
        <f>QM_Last("SPY")</f>
        <v/>
      </c>
      <c r="C21" s="12" t="inlineStr">
        <is>
          <t>Underlying price</t>
        </is>
      </c>
    </row>
    <row r="22">
      <c r="A22" s="13" t="inlineStr">
        <is>
          <t>MarketXLS: https://marketxls.com</t>
        </is>
      </c>
    </row>
    <row r="23">
      <c r="A23" s="13" t="inlineStr">
        <is>
          <t>Book a demo: https://marketxls.com/book-demo</t>
        </is>
      </c>
    </row>
  </sheetData>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7"/>
  <sheetViews>
    <sheetView workbookViewId="0">
      <pane ySplit="7" topLeftCell="A8" activePane="bottomLeft" state="frozen"/>
      <selection pane="bottomLeft" activeCell="A1" sqref="A1"/>
    </sheetView>
  </sheetViews>
  <sheetFormatPr baseColWidth="8" defaultRowHeight="15"/>
  <cols>
    <col width="24" customWidth="1" min="1" max="1"/>
    <col width="2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26" customHeight="1">
      <c r="A1" s="1" t="inlineStr">
        <is>
          <t>BREAKEVEN CALCULATOR</t>
        </is>
      </c>
    </row>
    <row r="2">
      <c r="A2" s="2" t="inlineStr">
        <is>
          <t>INPUTS</t>
        </is>
      </c>
    </row>
    <row r="3">
      <c r="A3" s="4" t="inlineStr">
        <is>
          <t>Underlying</t>
        </is>
      </c>
      <c r="B3" s="14" t="inlineStr">
        <is>
          <t>SPY</t>
        </is>
      </c>
      <c r="C3" s="4" t="inlineStr">
        <is>
          <t>Underlying price</t>
        </is>
      </c>
      <c r="E3" s="4" t="inlineStr">
        <is>
          <t>Expiration</t>
        </is>
      </c>
      <c r="G3" s="4" t="inlineStr">
        <is>
          <t>Days to expiry</t>
        </is>
      </c>
      <c r="I3" s="4" t="inlineStr">
        <is>
          <t>Commission per contract</t>
        </is>
      </c>
    </row>
    <row r="4">
      <c r="A4" t="inlineStr">
        <is>
          <t>SPY</t>
        </is>
      </c>
      <c r="C4" s="15">
        <f>QM_Last(B3)</f>
        <v/>
      </c>
      <c r="E4" s="14" t="inlineStr">
        <is>
          <t>2026-09-11</t>
        </is>
      </c>
      <c r="G4" s="14" t="n">
        <v>27</v>
      </c>
      <c r="I4" s="16" t="n">
        <v>0.65</v>
      </c>
    </row>
    <row r="6">
      <c r="A6" s="2" t="inlineStr">
        <is>
          <t>POSITIONS</t>
        </is>
      </c>
    </row>
    <row r="7" ht="30" customHeight="1">
      <c r="A7" s="3" t="inlineStr">
        <is>
          <t>Structure</t>
        </is>
      </c>
      <c r="B7" s="3" t="inlineStr">
        <is>
          <t>Legs</t>
        </is>
      </c>
      <c r="C7" s="3" t="inlineStr">
        <is>
          <t>Net debit or credit</t>
        </is>
      </c>
      <c r="D7" s="3" t="inlineStr">
        <is>
          <t>Breakeven</t>
        </is>
      </c>
      <c r="E7" s="3" t="inlineStr">
        <is>
          <t>Breakeven after fees</t>
        </is>
      </c>
      <c r="F7" s="3" t="inlineStr">
        <is>
          <t>Move required</t>
        </is>
      </c>
      <c r="G7" s="3" t="inlineStr">
        <is>
          <t>Max profit</t>
        </is>
      </c>
      <c r="H7" s="3" t="inlineStr">
        <is>
          <t>Max loss</t>
        </is>
      </c>
      <c r="I7" s="3" t="inlineStr">
        <is>
          <t>Finish past BE</t>
        </is>
      </c>
      <c r="J7" s="3" t="inlineStr">
        <is>
          <t>Touch BE</t>
        </is>
      </c>
    </row>
    <row r="8">
      <c r="A8" s="17" t="inlineStr">
        <is>
          <t>Long call</t>
        </is>
      </c>
      <c r="B8" s="18" t="inlineStr">
        <is>
          <t>Buy SPY 780 call</t>
        </is>
      </c>
      <c r="C8" s="19" t="n">
        <v>8.845000000000001</v>
      </c>
      <c r="D8" s="20" t="inlineStr">
        <is>
          <t>788.85</t>
        </is>
      </c>
      <c r="E8" s="20" t="inlineStr">
        <is>
          <t>788.86</t>
        </is>
      </c>
      <c r="F8" s="20" t="inlineStr">
        <is>
          <t>+1.61%</t>
        </is>
      </c>
      <c r="G8" s="18" t="inlineStr">
        <is>
          <t>Unlimited</t>
        </is>
      </c>
      <c r="H8" s="21" t="n">
        <v>-884.5</v>
      </c>
      <c r="I8" s="22" t="n">
        <v>0.3181</v>
      </c>
      <c r="J8" s="22" t="n">
        <v>0.6107</v>
      </c>
    </row>
    <row r="9">
      <c r="A9" s="23" t="inlineStr">
        <is>
          <t>Long put</t>
        </is>
      </c>
      <c r="B9" s="24" t="inlineStr">
        <is>
          <t>Buy SPY 770 put</t>
        </is>
      </c>
      <c r="C9" s="25" t="n">
        <v>6.865</v>
      </c>
      <c r="D9" s="26" t="inlineStr">
        <is>
          <t>763.13</t>
        </is>
      </c>
      <c r="E9" s="26" t="inlineStr">
        <is>
          <t>763.12</t>
        </is>
      </c>
      <c r="F9" s="26" t="inlineStr">
        <is>
          <t>-1.70%</t>
        </is>
      </c>
      <c r="G9" s="25" t="n">
        <v>76313.5</v>
      </c>
      <c r="H9" s="27" t="n">
        <v>-686.5</v>
      </c>
      <c r="I9" s="28" t="n">
        <v>0.2997</v>
      </c>
      <c r="J9" s="28" t="n">
        <v>0.6189</v>
      </c>
    </row>
    <row r="10">
      <c r="A10" s="17" t="inlineStr">
        <is>
          <t>Covered call</t>
        </is>
      </c>
      <c r="B10" s="18" t="inlineStr">
        <is>
          <t>Buy 100 shares, sell 790 call</t>
        </is>
      </c>
      <c r="C10" s="19" t="n">
        <v>-4.49</v>
      </c>
      <c r="D10" s="20" t="inlineStr">
        <is>
          <t>771.85</t>
        </is>
      </c>
      <c r="E10" s="20" t="inlineStr">
        <is>
          <t>771.86</t>
        </is>
      </c>
      <c r="F10" s="20" t="inlineStr">
        <is>
          <t>-0.58%</t>
        </is>
      </c>
      <c r="G10" s="19" t="n">
        <v>1815</v>
      </c>
      <c r="H10" s="21" t="n">
        <v>-77185</v>
      </c>
      <c r="I10" s="22" t="n">
        <v>0.5903</v>
      </c>
      <c r="J10" s="22" t="n">
        <v>0.854</v>
      </c>
    </row>
    <row r="11">
      <c r="A11" s="23" t="inlineStr">
        <is>
          <t>Cash secured put</t>
        </is>
      </c>
      <c r="B11" s="24" t="inlineStr">
        <is>
          <t>Sell 765 put, hold cash</t>
        </is>
      </c>
      <c r="C11" s="25" t="n">
        <v>-5.52</v>
      </c>
      <c r="D11" s="26" t="inlineStr">
        <is>
          <t>759.48</t>
        </is>
      </c>
      <c r="E11" s="26" t="inlineStr">
        <is>
          <t>759.49</t>
        </is>
      </c>
      <c r="F11" s="26" t="inlineStr">
        <is>
          <t>-2.17%</t>
        </is>
      </c>
      <c r="G11" s="25" t="n">
        <v>552</v>
      </c>
      <c r="H11" s="27" t="n">
        <v>-75948</v>
      </c>
      <c r="I11" s="28" t="n">
        <v>0.7372</v>
      </c>
      <c r="J11" s="28" t="n">
        <v>0.5409</v>
      </c>
    </row>
    <row r="12">
      <c r="A12" s="17" t="inlineStr">
        <is>
          <t>Bull call spread</t>
        </is>
      </c>
      <c r="B12" s="18" t="inlineStr">
        <is>
          <t>Buy 780 call, sell 790 call</t>
        </is>
      </c>
      <c r="C12" s="19" t="n">
        <v>4.355</v>
      </c>
      <c r="D12" s="20" t="inlineStr">
        <is>
          <t>784.36</t>
        </is>
      </c>
      <c r="E12" s="20" t="inlineStr">
        <is>
          <t>784.38</t>
        </is>
      </c>
      <c r="F12" s="20" t="inlineStr">
        <is>
          <t>+1.03%</t>
        </is>
      </c>
      <c r="G12" s="19" t="n">
        <v>564.5</v>
      </c>
      <c r="H12" s="21" t="n">
        <v>-435.5</v>
      </c>
      <c r="I12" s="22" t="n">
        <v>0.3923</v>
      </c>
      <c r="J12" s="22" t="n">
        <v>0.7518</v>
      </c>
    </row>
    <row r="13">
      <c r="A13" s="23" t="inlineStr">
        <is>
          <t>Bull put spread</t>
        </is>
      </c>
      <c r="B13" s="24" t="inlineStr">
        <is>
          <t>Sell 765 put, buy 755 put</t>
        </is>
      </c>
      <c r="C13" s="25" t="n">
        <v>-1.875</v>
      </c>
      <c r="D13" s="26" t="inlineStr">
        <is>
          <t>763.12</t>
        </is>
      </c>
      <c r="E13" s="26" t="inlineStr">
        <is>
          <t>763.15</t>
        </is>
      </c>
      <c r="F13" s="26" t="inlineStr">
        <is>
          <t>-1.70%</t>
        </is>
      </c>
      <c r="G13" s="25" t="n">
        <v>187.5</v>
      </c>
      <c r="H13" s="27" t="n">
        <v>-812.5</v>
      </c>
      <c r="I13" s="28" t="n">
        <v>0.7004</v>
      </c>
      <c r="J13" s="28" t="n">
        <v>0.6187</v>
      </c>
    </row>
    <row r="14">
      <c r="A14" s="17" t="inlineStr">
        <is>
          <t>Long straddle</t>
        </is>
      </c>
      <c r="B14" s="18" t="inlineStr">
        <is>
          <t>Buy 776 call and 776 put</t>
        </is>
      </c>
      <c r="C14" s="19" t="n">
        <v>20.1</v>
      </c>
      <c r="D14" s="20" t="inlineStr">
        <is>
          <t>755.90 / 796.10</t>
        </is>
      </c>
      <c r="E14" s="20" t="inlineStr">
        <is>
          <t>755.87 / 796.13</t>
        </is>
      </c>
      <c r="F14" s="20" t="inlineStr">
        <is>
          <t>-2.63% / +2.55%</t>
        </is>
      </c>
      <c r="G14" s="18" t="inlineStr">
        <is>
          <t>Unlimited</t>
        </is>
      </c>
      <c r="H14" s="21" t="n">
        <v>-2010</v>
      </c>
      <c r="I14" s="22" t="n">
        <v>0.4606</v>
      </c>
      <c r="J14" s="22" t="n">
        <v>0.4709</v>
      </c>
    </row>
    <row r="15">
      <c r="A15" s="23" t="inlineStr">
        <is>
          <t>Long strangle</t>
        </is>
      </c>
      <c r="B15" s="24" t="inlineStr">
        <is>
          <t>Buy 790 call, buy 765 put</t>
        </is>
      </c>
      <c r="C15" s="25" t="n">
        <v>10.01</v>
      </c>
      <c r="D15" s="26" t="inlineStr">
        <is>
          <t>754.99 / 800.01</t>
        </is>
      </c>
      <c r="E15" s="26" t="inlineStr">
        <is>
          <t>754.96 / 800.04</t>
        </is>
      </c>
      <c r="F15" s="26" t="inlineStr">
        <is>
          <t>-2.75% / +3.05%</t>
        </is>
      </c>
      <c r="G15" s="24" t="inlineStr">
        <is>
          <t>Unlimited</t>
        </is>
      </c>
      <c r="H15" s="27" t="n">
        <v>-1001</v>
      </c>
      <c r="I15" s="28" t="n">
        <v>0.3836</v>
      </c>
      <c r="J15" s="28" t="n">
        <v>0.4555</v>
      </c>
    </row>
    <row r="17">
      <c r="A17" s="12" t="inlineStr">
        <is>
          <t>Max profit and max loss are per contract on 100 shares. Probabilities use the implied volatility of the listed strike nearest each breakeven.</t>
        </is>
      </c>
    </row>
    <row r="19">
      <c r="A19" s="2" t="inlineStr">
        <is>
          <t>LEG PRICING</t>
        </is>
      </c>
    </row>
    <row r="20" ht="30" customHeight="1">
      <c r="A20" s="3" t="inlineStr">
        <is>
          <t>Contract</t>
        </is>
      </c>
      <c r="B20" s="3" t="inlineStr">
        <is>
          <t>Bid</t>
        </is>
      </c>
      <c r="C20" s="3" t="inlineStr">
        <is>
          <t>Ask</t>
        </is>
      </c>
      <c r="D20" s="3" t="inlineStr">
        <is>
          <t>Mid</t>
        </is>
      </c>
      <c r="E20" s="3" t="inlineStr">
        <is>
          <t>Implied volatility</t>
        </is>
      </c>
      <c r="F20" s="3" t="inlineStr">
        <is>
          <t>Delta</t>
        </is>
      </c>
    </row>
    <row r="21">
      <c r="A21" s="18" t="inlineStr">
        <is>
          <t>SPY 2026-09-11 755 put</t>
        </is>
      </c>
      <c r="B21" s="19">
        <f>Bid(OptionSymbol("SPY","2026-09-11","Put",755))</f>
        <v/>
      </c>
      <c r="C21" s="19">
        <f>Ask(OptionSymbol("SPY","2026-09-11","Put",755))</f>
        <v/>
      </c>
      <c r="D21" s="19">
        <f>AVERAGE(B21:C21)</f>
        <v/>
      </c>
      <c r="E21" s="22">
        <f>opt_ImpliedVolatility($C$4,D21,"2026-09-11","Put",755)</f>
        <v/>
      </c>
      <c r="F21" s="29">
        <f>opt_Delta($C$4,D21,"2026-09-11","Put",755)</f>
        <v/>
      </c>
    </row>
    <row r="22">
      <c r="A22" s="24" t="inlineStr">
        <is>
          <t>SPY 2026-09-11 765 put</t>
        </is>
      </c>
      <c r="B22" s="25">
        <f>Bid(OptionSymbol("SPY","2026-09-11","Put",765))</f>
        <v/>
      </c>
      <c r="C22" s="25">
        <f>Ask(OptionSymbol("SPY","2026-09-11","Put",765))</f>
        <v/>
      </c>
      <c r="D22" s="25">
        <f>AVERAGE(B22:C22)</f>
        <v/>
      </c>
      <c r="E22" s="28">
        <f>opt_ImpliedVolatility($C$4,D22,"2026-09-11","Put",765)</f>
        <v/>
      </c>
      <c r="F22" s="30">
        <f>opt_Delta($C$4,D22,"2026-09-11","Put",765)</f>
        <v/>
      </c>
    </row>
    <row r="23">
      <c r="A23" s="18" t="inlineStr">
        <is>
          <t>SPY 2026-09-11 770 put</t>
        </is>
      </c>
      <c r="B23" s="19">
        <f>Bid(OptionSymbol("SPY","2026-09-11","Put",770))</f>
        <v/>
      </c>
      <c r="C23" s="19">
        <f>Ask(OptionSymbol("SPY","2026-09-11","Put",770))</f>
        <v/>
      </c>
      <c r="D23" s="19">
        <f>AVERAGE(B23:C23)</f>
        <v/>
      </c>
      <c r="E23" s="22">
        <f>opt_ImpliedVolatility($C$4,D23,"2026-09-11","Put",770)</f>
        <v/>
      </c>
      <c r="F23" s="29">
        <f>opt_Delta($C$4,D23,"2026-09-11","Put",770)</f>
        <v/>
      </c>
    </row>
    <row r="24">
      <c r="A24" s="24" t="inlineStr">
        <is>
          <t>SPY 2026-09-11 776 call</t>
        </is>
      </c>
      <c r="B24" s="25">
        <f>Bid(OptionSymbol("SPY","2026-09-11","Call",776))</f>
        <v/>
      </c>
      <c r="C24" s="25">
        <f>Ask(OptionSymbol("SPY","2026-09-11","Call",776))</f>
        <v/>
      </c>
      <c r="D24" s="25">
        <f>AVERAGE(B24:C24)</f>
        <v/>
      </c>
      <c r="E24" s="28">
        <f>opt_ImpliedVolatility($C$4,D24,"2026-09-11","Call",776)</f>
        <v/>
      </c>
      <c r="F24" s="30">
        <f>opt_Delta($C$4,D24,"2026-09-11","Call",776)</f>
        <v/>
      </c>
    </row>
    <row r="25">
      <c r="A25" s="18" t="inlineStr">
        <is>
          <t>SPY 2026-09-11 776 put</t>
        </is>
      </c>
      <c r="B25" s="19">
        <f>Bid(OptionSymbol("SPY","2026-09-11","Put",776))</f>
        <v/>
      </c>
      <c r="C25" s="19">
        <f>Ask(OptionSymbol("SPY","2026-09-11","Put",776))</f>
        <v/>
      </c>
      <c r="D25" s="19">
        <f>AVERAGE(B25:C25)</f>
        <v/>
      </c>
      <c r="E25" s="22">
        <f>opt_ImpliedVolatility($C$4,D25,"2026-09-11","Put",776)</f>
        <v/>
      </c>
      <c r="F25" s="29">
        <f>opt_Delta($C$4,D25,"2026-09-11","Put",776)</f>
        <v/>
      </c>
    </row>
    <row r="26">
      <c r="A26" s="24" t="inlineStr">
        <is>
          <t>SPY 2026-09-11 780 call</t>
        </is>
      </c>
      <c r="B26" s="25">
        <f>Bid(OptionSymbol("SPY","2026-09-11","Call",780))</f>
        <v/>
      </c>
      <c r="C26" s="25">
        <f>Ask(OptionSymbol("SPY","2026-09-11","Call",780))</f>
        <v/>
      </c>
      <c r="D26" s="25">
        <f>AVERAGE(B26:C26)</f>
        <v/>
      </c>
      <c r="E26" s="28">
        <f>opt_ImpliedVolatility($C$4,D26,"2026-09-11","Call",780)</f>
        <v/>
      </c>
      <c r="F26" s="30">
        <f>opt_Delta($C$4,D26,"2026-09-11","Call",780)</f>
        <v/>
      </c>
    </row>
    <row r="27">
      <c r="A27" s="18" t="inlineStr">
        <is>
          <t>SPY 2026-09-11 790 call</t>
        </is>
      </c>
      <c r="B27" s="19">
        <f>Bid(OptionSymbol("SPY","2026-09-11","Call",790))</f>
        <v/>
      </c>
      <c r="C27" s="19">
        <f>Ask(OptionSymbol("SPY","2026-09-11","Call",790))</f>
        <v/>
      </c>
      <c r="D27" s="19">
        <f>AVERAGE(B27:C27)</f>
        <v/>
      </c>
      <c r="E27" s="22">
        <f>opt_ImpliedVolatility($C$4,D27,"2026-09-11","Call",790)</f>
        <v/>
      </c>
      <c r="F27" s="29">
        <f>opt_Delta($C$4,D27,"2026-09-11","Call",790)</f>
        <v/>
      </c>
    </row>
    <row r="29">
      <c r="A29" s="10" t="inlineStr">
        <is>
          <t>MarketXLS Functions Used in This Sheet:</t>
        </is>
      </c>
    </row>
    <row r="30">
      <c r="A30" s="11">
        <f>QM_Last("SPY")</f>
        <v/>
      </c>
      <c r="C30" s="12" t="inlineStr">
        <is>
          <t>Underlying price</t>
        </is>
      </c>
    </row>
    <row r="31">
      <c r="A31" s="11">
        <f>OptionSymbol("SPY","2026-09-11","Call",780)</f>
        <v/>
      </c>
      <c r="C31" s="12" t="inlineStr">
        <is>
          <t>Contract symbol for a leg</t>
        </is>
      </c>
    </row>
    <row r="32">
      <c r="A32" s="11">
        <f>Bid(OptionSymbol(...))</f>
        <v/>
      </c>
      <c r="C32" s="12" t="inlineStr">
        <is>
          <t>Live bid</t>
        </is>
      </c>
    </row>
    <row r="33">
      <c r="A33" s="11">
        <f>Ask(OptionSymbol(...))</f>
        <v/>
      </c>
      <c r="C33" s="12" t="inlineStr">
        <is>
          <t>Live ask</t>
        </is>
      </c>
    </row>
    <row r="34">
      <c r="A34" s="11">
        <f>opt_ImpliedVolatility(Spot,Mid,"2026-09-11","Call",780)</f>
        <v/>
      </c>
      <c r="C34" s="12" t="inlineStr">
        <is>
          <t>IV solved from the mid</t>
        </is>
      </c>
    </row>
    <row r="35">
      <c r="A35" s="11">
        <f>opt_Delta(Spot,Mid,"2026-09-11","Call",780)</f>
        <v/>
      </c>
      <c r="C35" s="12" t="inlineStr">
        <is>
          <t>Delta for the leg</t>
        </is>
      </c>
    </row>
    <row r="36">
      <c r="A36" s="13" t="inlineStr">
        <is>
          <t>MarketXLS: https://marketxls.com</t>
        </is>
      </c>
    </row>
    <row r="37">
      <c r="A37" s="13" t="inlineStr">
        <is>
          <t>Book a demo: https://marketxls.com/book-demo</t>
        </is>
      </c>
    </row>
  </sheetData>
  <mergeCells count="1">
    <mergeCell ref="A1:J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0"/>
  <sheetViews>
    <sheetView workbookViewId="0">
      <pane ySplit="3" topLeftCell="A4" activePane="bottomLeft" state="frozen"/>
      <selection pane="bottomLeft" activeCell="A1" sqref="A1"/>
    </sheetView>
  </sheetViews>
  <sheetFormatPr baseColWidth="8" defaultRowHeight="15"/>
  <cols>
    <col width="20" customWidth="1" min="1" max="1"/>
    <col width="18" customWidth="1" min="2" max="2"/>
    <col width="18" customWidth="1" min="3" max="3"/>
    <col width="18" customWidth="1" min="4" max="4"/>
    <col width="18" customWidth="1" min="5" max="5"/>
    <col width="18" customWidth="1" min="6" max="6"/>
    <col width="34" customWidth="1" min="7" max="7"/>
  </cols>
  <sheetData>
    <row r="1" ht="26" customHeight="1">
      <c r="A1" s="1" t="inlineStr">
        <is>
          <t>THE BREAKEVEN THAT MOVES</t>
        </is>
      </c>
    </row>
    <row r="2" ht="34" customHeight="1">
      <c r="A2" s="31" t="inlineStr">
        <is>
          <t>A quoted breakeven assumes you hold to expiration. Sell earlier and the remaining time value pays part of the bill, so the position breaks even at a lower price. That gap shrinks to zero on expiration day.</t>
        </is>
      </c>
    </row>
    <row r="4">
      <c r="A4" s="2" t="inlineStr">
        <is>
          <t>Long call</t>
        </is>
      </c>
      <c r="B4" s="32" t="inlineStr">
        <is>
          <t>Buy SPY 780 call</t>
        </is>
      </c>
    </row>
    <row r="5" ht="30" customHeight="1">
      <c r="A5" s="3" t="inlineStr">
        <is>
          <t>Days remaining</t>
        </is>
      </c>
      <c r="B5" s="3" t="inlineStr">
        <is>
          <t>Breakeven price</t>
        </is>
      </c>
      <c r="C5" s="3" t="inlineStr">
        <is>
          <t>Move required</t>
        </is>
      </c>
      <c r="D5" s="3" t="inlineStr">
        <is>
          <t>Gap to expiry breakeven</t>
        </is>
      </c>
      <c r="E5" s="3" t="inlineStr">
        <is>
          <t>Time value left</t>
        </is>
      </c>
      <c r="F5" s="3" t="inlineStr"/>
      <c r="G5" s="3" t="inlineStr">
        <is>
          <t>Read this as</t>
        </is>
      </c>
    </row>
    <row r="6">
      <c r="A6" s="18" t="n">
        <v>27</v>
      </c>
      <c r="B6" s="19" t="n">
        <v>776.34</v>
      </c>
      <c r="C6" s="22" t="n">
        <v>0</v>
      </c>
      <c r="D6" s="19" t="n">
        <v>12.5</v>
      </c>
      <c r="E6" s="19" t="n">
        <v>12.5</v>
      </c>
      <c r="F6" s="18" t="n"/>
      <c r="G6" s="33" t="inlineStr">
        <is>
          <t>Entry day.</t>
        </is>
      </c>
    </row>
    <row r="7">
      <c r="A7" s="24" t="n">
        <v>21</v>
      </c>
      <c r="B7" s="25" t="n">
        <v>779.0599999999999</v>
      </c>
      <c r="C7" s="28" t="n">
        <v>0.003505</v>
      </c>
      <c r="D7" s="25" t="n">
        <v>9.779999999999999</v>
      </c>
      <c r="E7" s="25" t="n">
        <v>9.779999999999999</v>
      </c>
      <c r="F7" s="24" t="n"/>
      <c r="G7" s="34" t="inlineStr"/>
    </row>
    <row r="8">
      <c r="A8" s="18" t="n">
        <v>14</v>
      </c>
      <c r="B8" s="19" t="n">
        <v>782.41</v>
      </c>
      <c r="C8" s="22" t="n">
        <v>0.007816</v>
      </c>
      <c r="D8" s="19" t="n">
        <v>6.44</v>
      </c>
      <c r="E8" s="19" t="n">
        <v>6.44</v>
      </c>
      <c r="F8" s="18" t="n"/>
      <c r="G8" s="33" t="inlineStr"/>
    </row>
    <row r="9">
      <c r="A9" s="24" t="n">
        <v>7</v>
      </c>
      <c r="B9" s="25" t="n">
        <v>785.95</v>
      </c>
      <c r="C9" s="28" t="n">
        <v>0.012375</v>
      </c>
      <c r="D9" s="25" t="n">
        <v>2.9</v>
      </c>
      <c r="E9" s="25" t="n">
        <v>2.9</v>
      </c>
      <c r="F9" s="24" t="n"/>
      <c r="G9" s="34" t="inlineStr"/>
    </row>
    <row r="10">
      <c r="A10" s="18" t="n">
        <v>3</v>
      </c>
      <c r="B10" s="19" t="n">
        <v>787.95</v>
      </c>
      <c r="C10" s="22" t="n">
        <v>0.014955</v>
      </c>
      <c r="D10" s="19" t="n">
        <v>0.89</v>
      </c>
      <c r="E10" s="19" t="n">
        <v>0.89</v>
      </c>
      <c r="F10" s="18" t="n"/>
      <c r="G10" s="33" t="inlineStr"/>
    </row>
    <row r="11">
      <c r="A11" s="24" t="n">
        <v>0</v>
      </c>
      <c r="B11" s="25" t="n">
        <v>788.85</v>
      </c>
      <c r="C11" s="28" t="n">
        <v>0.016108</v>
      </c>
      <c r="D11" s="25" t="n">
        <v>0</v>
      </c>
      <c r="E11" s="25" t="n">
        <v>0</v>
      </c>
      <c r="F11" s="24" t="n"/>
      <c r="G11" s="34" t="inlineStr">
        <is>
          <t>Expiration. Time value is gone.</t>
        </is>
      </c>
    </row>
    <row r="14">
      <c r="A14" s="2" t="inlineStr">
        <is>
          <t>Long straddle</t>
        </is>
      </c>
      <c r="B14" s="32" t="inlineStr">
        <is>
          <t>Buy 776 call and 776 put</t>
        </is>
      </c>
    </row>
    <row r="15" ht="30" customHeight="1">
      <c r="A15" s="3" t="inlineStr">
        <is>
          <t>Days remaining</t>
        </is>
      </c>
      <c r="B15" s="3" t="inlineStr">
        <is>
          <t>Breakeven price</t>
        </is>
      </c>
      <c r="C15" s="3" t="inlineStr">
        <is>
          <t>Move required</t>
        </is>
      </c>
      <c r="D15" s="3" t="inlineStr">
        <is>
          <t>Gap to expiry breakeven</t>
        </is>
      </c>
      <c r="E15" s="3" t="inlineStr">
        <is>
          <t>Time value left</t>
        </is>
      </c>
      <c r="F15" s="3" t="inlineStr"/>
      <c r="G15" s="3" t="inlineStr">
        <is>
          <t>Read this as</t>
        </is>
      </c>
    </row>
    <row r="16">
      <c r="A16" s="18" t="n">
        <v>27</v>
      </c>
      <c r="B16" s="19" t="n">
        <v>776.34</v>
      </c>
      <c r="C16" s="22" t="n">
        <v>0</v>
      </c>
      <c r="D16" s="19" t="n">
        <v>19.76</v>
      </c>
      <c r="E16" s="19" t="n">
        <v>19.76</v>
      </c>
      <c r="F16" s="18" t="n"/>
      <c r="G16" s="33" t="inlineStr">
        <is>
          <t>Entry day.</t>
        </is>
      </c>
    </row>
    <row r="17">
      <c r="A17" s="24" t="n">
        <v>21</v>
      </c>
      <c r="B17" s="25" t="n">
        <v>786.08</v>
      </c>
      <c r="C17" s="28" t="n">
        <v>0.01254</v>
      </c>
      <c r="D17" s="25" t="n">
        <v>10.02</v>
      </c>
      <c r="E17" s="25" t="n">
        <v>10.02</v>
      </c>
      <c r="F17" s="24" t="n"/>
      <c r="G17" s="34" t="inlineStr"/>
    </row>
    <row r="18">
      <c r="A18" s="18" t="n">
        <v>14</v>
      </c>
      <c r="B18" s="19" t="n">
        <v>791.47</v>
      </c>
      <c r="C18" s="22" t="n">
        <v>0.019488</v>
      </c>
      <c r="D18" s="19" t="n">
        <v>4.63</v>
      </c>
      <c r="E18" s="19" t="n">
        <v>4.63</v>
      </c>
      <c r="F18" s="18" t="n"/>
      <c r="G18" s="33" t="inlineStr"/>
    </row>
    <row r="19">
      <c r="A19" s="24" t="n">
        <v>7</v>
      </c>
      <c r="B19" s="25" t="n">
        <v>794.85</v>
      </c>
      <c r="C19" s="28" t="n">
        <v>0.023842</v>
      </c>
      <c r="D19" s="25" t="n">
        <v>1.25</v>
      </c>
      <c r="E19" s="25" t="n">
        <v>1.25</v>
      </c>
      <c r="F19" s="24" t="n"/>
      <c r="G19" s="34" t="inlineStr"/>
    </row>
    <row r="20">
      <c r="A20" s="18" t="n">
        <v>3</v>
      </c>
      <c r="B20" s="19" t="n">
        <v>795.84</v>
      </c>
      <c r="C20" s="22" t="n">
        <v>0.025122</v>
      </c>
      <c r="D20" s="19" t="n">
        <v>0.26</v>
      </c>
      <c r="E20" s="19" t="n">
        <v>0.26</v>
      </c>
      <c r="F20" s="18" t="n"/>
      <c r="G20" s="33" t="inlineStr"/>
    </row>
    <row r="21">
      <c r="A21" s="24" t="n">
        <v>0</v>
      </c>
      <c r="B21" s="25" t="n">
        <v>796.1</v>
      </c>
      <c r="C21" s="28" t="n">
        <v>0.025453</v>
      </c>
      <c r="D21" s="25" t="n">
        <v>0</v>
      </c>
      <c r="E21" s="25" t="n">
        <v>0</v>
      </c>
      <c r="F21" s="24" t="n"/>
      <c r="G21" s="34" t="inlineStr">
        <is>
          <t>Expiration. Time value is gone.</t>
        </is>
      </c>
    </row>
    <row r="24">
      <c r="A24" s="10" t="inlineStr">
        <is>
          <t>MarketXLS Functions Used in This Sheet:</t>
        </is>
      </c>
    </row>
    <row r="25">
      <c r="A25" s="11">
        <f>opt_Theta(Spot,Mid,"2026-09-11","Call",780)</f>
        <v/>
      </c>
      <c r="C25" s="12" t="inlineStr">
        <is>
          <t>Daily time decay per share</t>
        </is>
      </c>
    </row>
    <row r="26">
      <c r="A26" s="11">
        <f>opt_Vega(Spot,Mid,"2026-09-11","Call",780)</f>
        <v/>
      </c>
      <c r="C26" s="12" t="inlineStr">
        <is>
          <t>Sensitivity to a 1 point IV move</t>
        </is>
      </c>
    </row>
    <row r="27">
      <c r="A27" s="11">
        <f>OPT_DaysToExpiration(OptionSymbol("SPY","2026-09-11","Call",780))</f>
        <v/>
      </c>
      <c r="C27" s="12" t="inlineStr">
        <is>
          <t>Days left on the contract</t>
        </is>
      </c>
    </row>
    <row r="28">
      <c r="A28" s="11">
        <f>OPT_TimeValue(OptionSymbol(...),Mid,Spot)</f>
        <v/>
      </c>
      <c r="C28" s="12" t="inlineStr">
        <is>
          <t>Extrinsic value still in the price</t>
        </is>
      </c>
    </row>
    <row r="29">
      <c r="A29" s="13" t="inlineStr">
        <is>
          <t>MarketXLS: https://marketxls.com</t>
        </is>
      </c>
    </row>
    <row r="30">
      <c r="A30" s="13" t="inlineStr">
        <is>
          <t>Book a demo: https://marketxls.com/book-demo</t>
        </is>
      </c>
    </row>
  </sheetData>
  <mergeCells count="2">
    <mergeCell ref="A2:G2"/>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5"/>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2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26" customHeight="1">
      <c r="A1" s="1" t="inlineStr">
        <is>
          <t>SCENARIO ANALYSIS AT EXPIRATION</t>
        </is>
      </c>
    </row>
    <row r="2">
      <c r="A2" s="32" t="inlineStr">
        <is>
          <t>Profit and loss per contract across a price ladder. Compare each column against the breakeven column on the calculator sheet.</t>
        </is>
      </c>
    </row>
    <row r="4" ht="30" customHeight="1">
      <c r="A4" s="3" t="inlineStr">
        <is>
          <t>Structure</t>
        </is>
      </c>
      <c r="B4" s="3" t="inlineStr">
        <is>
          <t>Breakeven</t>
        </is>
      </c>
      <c r="C4" s="3" t="inlineStr">
        <is>
          <t>-6%  ($730)</t>
        </is>
      </c>
      <c r="D4" s="3" t="inlineStr">
        <is>
          <t>-4%  ($745)</t>
        </is>
      </c>
      <c r="E4" s="3" t="inlineStr">
        <is>
          <t>-2%  ($761)</t>
        </is>
      </c>
      <c r="F4" s="3" t="inlineStr">
        <is>
          <t>+0%  ($776)</t>
        </is>
      </c>
      <c r="G4" s="3" t="inlineStr">
        <is>
          <t>+2%  ($792)</t>
        </is>
      </c>
      <c r="H4" s="3" t="inlineStr">
        <is>
          <t>+4%  ($807)</t>
        </is>
      </c>
      <c r="I4" s="3" t="inlineStr">
        <is>
          <t>+6%  ($823)</t>
        </is>
      </c>
      <c r="J4" s="3" t="inlineStr">
        <is>
          <t>Direction</t>
        </is>
      </c>
    </row>
    <row r="5">
      <c r="A5" s="17" t="inlineStr">
        <is>
          <t>Long call</t>
        </is>
      </c>
      <c r="B5" s="20" t="inlineStr">
        <is>
          <t>788.85</t>
        </is>
      </c>
      <c r="C5" s="21" t="n">
        <v>-884.5</v>
      </c>
      <c r="D5" s="21" t="n">
        <v>-884.5</v>
      </c>
      <c r="E5" s="21" t="n">
        <v>-884.5</v>
      </c>
      <c r="F5" s="21" t="n">
        <v>-884.5</v>
      </c>
      <c r="G5" s="35" t="n">
        <v>302.18</v>
      </c>
      <c r="H5" s="35" t="n">
        <v>1854.86</v>
      </c>
      <c r="I5" s="35" t="n">
        <v>3407.54</v>
      </c>
      <c r="J5" s="18" t="inlineStr">
        <is>
          <t>Profits above BE</t>
        </is>
      </c>
    </row>
    <row r="6">
      <c r="A6" s="23" t="inlineStr">
        <is>
          <t>Long put</t>
        </is>
      </c>
      <c r="B6" s="26" t="inlineStr">
        <is>
          <t>763.13</t>
        </is>
      </c>
      <c r="C6" s="36" t="n">
        <v>3337.54</v>
      </c>
      <c r="D6" s="36" t="n">
        <v>1784.86</v>
      </c>
      <c r="E6" s="36" t="n">
        <v>232.18</v>
      </c>
      <c r="F6" s="27" t="n">
        <v>-686.5</v>
      </c>
      <c r="G6" s="27" t="n">
        <v>-686.5</v>
      </c>
      <c r="H6" s="27" t="n">
        <v>-686.5</v>
      </c>
      <c r="I6" s="27" t="n">
        <v>-686.5</v>
      </c>
      <c r="J6" s="24" t="inlineStr">
        <is>
          <t>Profits below BE</t>
        </is>
      </c>
    </row>
    <row r="7">
      <c r="A7" s="17" t="inlineStr">
        <is>
          <t>Covered call</t>
        </is>
      </c>
      <c r="B7" s="20" t="inlineStr">
        <is>
          <t>771.85</t>
        </is>
      </c>
      <c r="C7" s="21" t="n">
        <v>-4209.04</v>
      </c>
      <c r="D7" s="21" t="n">
        <v>-2656.36</v>
      </c>
      <c r="E7" s="21" t="n">
        <v>-1103.68</v>
      </c>
      <c r="F7" s="35" t="n">
        <v>449</v>
      </c>
      <c r="G7" s="35" t="n">
        <v>1815</v>
      </c>
      <c r="H7" s="35" t="n">
        <v>1815</v>
      </c>
      <c r="I7" s="35" t="n">
        <v>1815</v>
      </c>
      <c r="J7" s="18" t="inlineStr">
        <is>
          <t>Profits above BE</t>
        </is>
      </c>
    </row>
    <row r="8">
      <c r="A8" s="23" t="inlineStr">
        <is>
          <t>Cash secured put</t>
        </is>
      </c>
      <c r="B8" s="26" t="inlineStr">
        <is>
          <t>759.48</t>
        </is>
      </c>
      <c r="C8" s="27" t="n">
        <v>-2972.04</v>
      </c>
      <c r="D8" s="27" t="n">
        <v>-1419.36</v>
      </c>
      <c r="E8" s="36" t="n">
        <v>133.32</v>
      </c>
      <c r="F8" s="36" t="n">
        <v>552</v>
      </c>
      <c r="G8" s="36" t="n">
        <v>552</v>
      </c>
      <c r="H8" s="36" t="n">
        <v>552</v>
      </c>
      <c r="I8" s="36" t="n">
        <v>552</v>
      </c>
      <c r="J8" s="24" t="inlineStr">
        <is>
          <t>Profits above BE</t>
        </is>
      </c>
    </row>
    <row r="9">
      <c r="A9" s="17" t="inlineStr">
        <is>
          <t>Bull call spread</t>
        </is>
      </c>
      <c r="B9" s="20" t="inlineStr">
        <is>
          <t>784.36</t>
        </is>
      </c>
      <c r="C9" s="21" t="n">
        <v>-435.5</v>
      </c>
      <c r="D9" s="21" t="n">
        <v>-435.5</v>
      </c>
      <c r="E9" s="21" t="n">
        <v>-435.5</v>
      </c>
      <c r="F9" s="21" t="n">
        <v>-435.5</v>
      </c>
      <c r="G9" s="35" t="n">
        <v>564.5</v>
      </c>
      <c r="H9" s="35" t="n">
        <v>564.5</v>
      </c>
      <c r="I9" s="35" t="n">
        <v>564.5</v>
      </c>
      <c r="J9" s="18" t="inlineStr">
        <is>
          <t>Profits above BE</t>
        </is>
      </c>
    </row>
    <row r="10">
      <c r="A10" s="23" t="inlineStr">
        <is>
          <t>Bull put spread</t>
        </is>
      </c>
      <c r="B10" s="26" t="inlineStr">
        <is>
          <t>763.12</t>
        </is>
      </c>
      <c r="C10" s="27" t="n">
        <v>-812.5</v>
      </c>
      <c r="D10" s="27" t="n">
        <v>-812.5</v>
      </c>
      <c r="E10" s="27" t="n">
        <v>-231.18</v>
      </c>
      <c r="F10" s="36" t="n">
        <v>187.5</v>
      </c>
      <c r="G10" s="36" t="n">
        <v>187.5</v>
      </c>
      <c r="H10" s="36" t="n">
        <v>187.5</v>
      </c>
      <c r="I10" s="36" t="n">
        <v>187.5</v>
      </c>
      <c r="J10" s="24" t="inlineStr">
        <is>
          <t>Profits above BE</t>
        </is>
      </c>
    </row>
    <row r="11">
      <c r="A11" s="17" t="inlineStr">
        <is>
          <t>Long straddle</t>
        </is>
      </c>
      <c r="B11" s="20" t="inlineStr">
        <is>
          <t>755.90 / 796.10</t>
        </is>
      </c>
      <c r="C11" s="35" t="n">
        <v>2614.04</v>
      </c>
      <c r="D11" s="35" t="n">
        <v>1061.36</v>
      </c>
      <c r="E11" s="21" t="n">
        <v>-491.32</v>
      </c>
      <c r="F11" s="21" t="n">
        <v>-1976</v>
      </c>
      <c r="G11" s="21" t="n">
        <v>-423.32</v>
      </c>
      <c r="H11" s="35" t="n">
        <v>1129.36</v>
      </c>
      <c r="I11" s="35" t="n">
        <v>2682.04</v>
      </c>
      <c r="J11" s="18" t="inlineStr">
        <is>
          <t>Profits outside both BEs</t>
        </is>
      </c>
    </row>
    <row r="12">
      <c r="A12" s="23" t="inlineStr">
        <is>
          <t>Long strangle</t>
        </is>
      </c>
      <c r="B12" s="26" t="inlineStr">
        <is>
          <t>754.99 / 800.01</t>
        </is>
      </c>
      <c r="C12" s="36" t="n">
        <v>2523.04</v>
      </c>
      <c r="D12" s="36" t="n">
        <v>970.36</v>
      </c>
      <c r="E12" s="27" t="n">
        <v>-582.3200000000001</v>
      </c>
      <c r="F12" s="27" t="n">
        <v>-1001</v>
      </c>
      <c r="G12" s="27" t="n">
        <v>-814.3200000000001</v>
      </c>
      <c r="H12" s="36" t="n">
        <v>738.36</v>
      </c>
      <c r="I12" s="36" t="n">
        <v>2291.04</v>
      </c>
      <c r="J12" s="24" t="inlineStr">
        <is>
          <t>Profits outside both BEs</t>
        </is>
      </c>
    </row>
    <row r="15">
      <c r="A15" s="2" t="inlineStr">
        <is>
          <t>Same breakeven, opposite bet</t>
        </is>
      </c>
    </row>
    <row r="16" ht="30" customHeight="1">
      <c r="A16" s="31" t="inlineStr">
        <is>
          <t>Long put breaks even at 763.13 and needs the price BELOW it. Bull put spread breaks even at 763.12 and needs the price ABOVE it. Breakeven alone never tells you which way to lean.</t>
        </is>
      </c>
    </row>
    <row r="19">
      <c r="A19" s="10" t="inlineStr">
        <is>
          <t>MarketXLS Functions Used in This Sheet:</t>
        </is>
      </c>
    </row>
    <row r="20">
      <c r="A20" s="11">
        <f>QM_Last("SPY")</f>
        <v/>
      </c>
      <c r="C20" s="12" t="inlineStr">
        <is>
          <t>Underlying price driving the ladder</t>
        </is>
      </c>
    </row>
    <row r="21">
      <c r="A21" s="11">
        <f>OPT_IntrinsicValue(OptionSymbol(...),QM_Last("SPY"))</f>
        <v/>
      </c>
      <c r="C21" s="12" t="inlineStr">
        <is>
          <t>Intrinsic value at a given spot</t>
        </is>
      </c>
    </row>
    <row r="22">
      <c r="A22" s="11">
        <f>StockVolatilityThirtyDays("SPY")</f>
        <v/>
      </c>
      <c r="C22" s="12" t="inlineStr">
        <is>
          <t>Realized 30 day volatility for context</t>
        </is>
      </c>
    </row>
    <row r="23">
      <c r="A23" s="11">
        <f>ImpliedVolatility30d("SPY")</f>
        <v/>
      </c>
      <c r="C23" s="12" t="inlineStr">
        <is>
          <t>Implied volatility for the same window</t>
        </is>
      </c>
    </row>
    <row r="24">
      <c r="A24" s="13" t="inlineStr">
        <is>
          <t>MarketXLS: https://marketxls.com</t>
        </is>
      </c>
    </row>
    <row r="25">
      <c r="A25" s="13" t="inlineStr">
        <is>
          <t>Book a demo: https://marketxls.com/book-demo</t>
        </is>
      </c>
    </row>
  </sheetData>
  <mergeCells count="2">
    <mergeCell ref="A1:J1"/>
    <mergeCell ref="A16:J1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4"/>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6" customWidth="1" min="4" max="4"/>
    <col width="14" customWidth="1" min="5" max="5"/>
    <col width="14" customWidth="1" min="6" max="6"/>
    <col width="14" customWidth="1" min="7" max="7"/>
    <col width="14" customWidth="1" min="8" max="8"/>
    <col width="20" customWidth="1" min="9" max="9"/>
  </cols>
  <sheetData>
    <row r="1" ht="26" customHeight="1">
      <c r="A1" s="1" t="inlineStr">
        <is>
          <t>STRUCTURE COMPARISON</t>
        </is>
      </c>
    </row>
    <row r="3" ht="30" customHeight="1">
      <c r="A3" s="3" t="inlineStr">
        <is>
          <t>Structure</t>
        </is>
      </c>
      <c r="B3" s="3" t="inlineStr">
        <is>
          <t>Legs</t>
        </is>
      </c>
      <c r="C3" s="3" t="inlineStr">
        <is>
          <t>Net per contract</t>
        </is>
      </c>
      <c r="D3" s="3" t="inlineStr">
        <is>
          <t>Breakeven</t>
        </is>
      </c>
      <c r="E3" s="3" t="inlineStr">
        <is>
          <t>Move required</t>
        </is>
      </c>
      <c r="F3" s="3" t="inlineStr">
        <is>
          <t>Max profit</t>
        </is>
      </c>
      <c r="G3" s="3" t="inlineStr">
        <is>
          <t>Max loss</t>
        </is>
      </c>
      <c r="H3" s="3" t="inlineStr">
        <is>
          <t>Finish past BE</t>
        </is>
      </c>
      <c r="I3" s="3" t="inlineStr">
        <is>
          <t>What you give up</t>
        </is>
      </c>
    </row>
    <row r="4">
      <c r="A4" s="17" t="inlineStr">
        <is>
          <t>Long call</t>
        </is>
      </c>
      <c r="B4" s="18" t="inlineStr">
        <is>
          <t>Buy SPY 780 call</t>
        </is>
      </c>
      <c r="C4" s="19" t="n">
        <v>884.5</v>
      </c>
      <c r="D4" s="20" t="inlineStr">
        <is>
          <t>788.85</t>
        </is>
      </c>
      <c r="E4" s="20" t="inlineStr">
        <is>
          <t>+1.61%</t>
        </is>
      </c>
      <c r="F4" s="18" t="inlineStr">
        <is>
          <t>Unlimited</t>
        </is>
      </c>
      <c r="G4" s="19" t="n">
        <v>-884.5</v>
      </c>
      <c r="H4" s="22" t="n">
        <v>0.3181</v>
      </c>
      <c r="I4" s="37" t="inlineStr">
        <is>
          <t>Full premium if flat</t>
        </is>
      </c>
    </row>
    <row r="5">
      <c r="A5" s="23" t="inlineStr">
        <is>
          <t>Long put</t>
        </is>
      </c>
      <c r="B5" s="24" t="inlineStr">
        <is>
          <t>Buy SPY 770 put</t>
        </is>
      </c>
      <c r="C5" s="25" t="n">
        <v>686.5</v>
      </c>
      <c r="D5" s="26" t="inlineStr">
        <is>
          <t>763.13</t>
        </is>
      </c>
      <c r="E5" s="26" t="inlineStr">
        <is>
          <t>-1.70%</t>
        </is>
      </c>
      <c r="F5" s="25" t="n">
        <v>76313.5</v>
      </c>
      <c r="G5" s="25" t="n">
        <v>-686.5</v>
      </c>
      <c r="H5" s="28" t="n">
        <v>0.2997</v>
      </c>
      <c r="I5" s="38" t="inlineStr">
        <is>
          <t>Full premium if flat</t>
        </is>
      </c>
    </row>
    <row r="6">
      <c r="A6" s="17" t="inlineStr">
        <is>
          <t>Covered call</t>
        </is>
      </c>
      <c r="B6" s="18" t="inlineStr">
        <is>
          <t>Buy 100 shares, sell 790 call</t>
        </is>
      </c>
      <c r="C6" s="19" t="n">
        <v>-449</v>
      </c>
      <c r="D6" s="20" t="inlineStr">
        <is>
          <t>771.85</t>
        </is>
      </c>
      <c r="E6" s="20" t="inlineStr">
        <is>
          <t>-0.58%</t>
        </is>
      </c>
      <c r="F6" s="19" t="n">
        <v>1815</v>
      </c>
      <c r="G6" s="19" t="n">
        <v>-77185</v>
      </c>
      <c r="H6" s="22" t="n">
        <v>0.5903</v>
      </c>
      <c r="I6" s="37" t="inlineStr">
        <is>
          <t>Upside above 790</t>
        </is>
      </c>
    </row>
    <row r="7">
      <c r="A7" s="23" t="inlineStr">
        <is>
          <t>Cash secured put</t>
        </is>
      </c>
      <c r="B7" s="24" t="inlineStr">
        <is>
          <t>Sell 765 put, hold cash</t>
        </is>
      </c>
      <c r="C7" s="25" t="n">
        <v>-552</v>
      </c>
      <c r="D7" s="26" t="inlineStr">
        <is>
          <t>759.48</t>
        </is>
      </c>
      <c r="E7" s="26" t="inlineStr">
        <is>
          <t>-2.17%</t>
        </is>
      </c>
      <c r="F7" s="25" t="n">
        <v>552</v>
      </c>
      <c r="G7" s="25" t="n">
        <v>-75948</v>
      </c>
      <c r="H7" s="28" t="n">
        <v>0.7372</v>
      </c>
      <c r="I7" s="38" t="inlineStr">
        <is>
          <t>Upside, and cash is tied up</t>
        </is>
      </c>
    </row>
    <row r="8">
      <c r="A8" s="17" t="inlineStr">
        <is>
          <t>Bull call spread</t>
        </is>
      </c>
      <c r="B8" s="18" t="inlineStr">
        <is>
          <t>Buy 780 call, sell 790 call</t>
        </is>
      </c>
      <c r="C8" s="19" t="n">
        <v>435.5</v>
      </c>
      <c r="D8" s="20" t="inlineStr">
        <is>
          <t>784.36</t>
        </is>
      </c>
      <c r="E8" s="20" t="inlineStr">
        <is>
          <t>+1.03%</t>
        </is>
      </c>
      <c r="F8" s="19" t="n">
        <v>564.5</v>
      </c>
      <c r="G8" s="19" t="n">
        <v>-435.5</v>
      </c>
      <c r="H8" s="22" t="n">
        <v>0.3923</v>
      </c>
      <c r="I8" s="37" t="inlineStr">
        <is>
          <t>Upside above 790</t>
        </is>
      </c>
    </row>
    <row r="9">
      <c r="A9" s="23" t="inlineStr">
        <is>
          <t>Bull put spread</t>
        </is>
      </c>
      <c r="B9" s="24" t="inlineStr">
        <is>
          <t>Sell 765 put, buy 755 put</t>
        </is>
      </c>
      <c r="C9" s="25" t="n">
        <v>-187.5</v>
      </c>
      <c r="D9" s="26" t="inlineStr">
        <is>
          <t>763.12</t>
        </is>
      </c>
      <c r="E9" s="26" t="inlineStr">
        <is>
          <t>-1.70%</t>
        </is>
      </c>
      <c r="F9" s="25" t="n">
        <v>187.5</v>
      </c>
      <c r="G9" s="25" t="n">
        <v>-812.5</v>
      </c>
      <c r="H9" s="28" t="n">
        <v>0.7004</v>
      </c>
      <c r="I9" s="38" t="inlineStr">
        <is>
          <t>Ten points of downside</t>
        </is>
      </c>
    </row>
    <row r="10">
      <c r="A10" s="17" t="inlineStr">
        <is>
          <t>Long straddle</t>
        </is>
      </c>
      <c r="B10" s="18" t="inlineStr">
        <is>
          <t>Buy 776 call and 776 put</t>
        </is>
      </c>
      <c r="C10" s="19" t="n">
        <v>2010</v>
      </c>
      <c r="D10" s="20" t="inlineStr">
        <is>
          <t>755.90 / 796.10</t>
        </is>
      </c>
      <c r="E10" s="20" t="inlineStr">
        <is>
          <t>-2.63% / +2.55%</t>
        </is>
      </c>
      <c r="F10" s="18" t="inlineStr">
        <is>
          <t>Unlimited</t>
        </is>
      </c>
      <c r="G10" s="19" t="n">
        <v>-2010</v>
      </c>
      <c r="H10" s="22" t="n">
        <v>0.4606</v>
      </c>
      <c r="I10" s="37" t="inlineStr">
        <is>
          <t>Both premiums if flat</t>
        </is>
      </c>
    </row>
    <row r="11">
      <c r="A11" s="23" t="inlineStr">
        <is>
          <t>Long strangle</t>
        </is>
      </c>
      <c r="B11" s="24" t="inlineStr">
        <is>
          <t>Buy 790 call, buy 765 put</t>
        </is>
      </c>
      <c r="C11" s="25" t="n">
        <v>1001</v>
      </c>
      <c r="D11" s="26" t="inlineStr">
        <is>
          <t>754.99 / 800.01</t>
        </is>
      </c>
      <c r="E11" s="26" t="inlineStr">
        <is>
          <t>-2.75% / +3.05%</t>
        </is>
      </c>
      <c r="F11" s="24" t="inlineStr">
        <is>
          <t>Unlimited</t>
        </is>
      </c>
      <c r="G11" s="25" t="n">
        <v>-1001</v>
      </c>
      <c r="H11" s="28" t="n">
        <v>0.3836</v>
      </c>
      <c r="I11" s="38" t="inlineStr">
        <is>
          <t>Both premiums if flat</t>
        </is>
      </c>
    </row>
    <row r="14">
      <c r="A14" s="2" t="inlineStr">
        <is>
          <t>Cost of a nearer breakeven</t>
        </is>
      </c>
    </row>
    <row r="15" ht="30" customHeight="1">
      <c r="A15" s="31" t="inlineStr">
        <is>
          <t>Selling the 790 call against the 780 call pulls the breakeven down by 4.49 points, from 788.85 to 784.36. The price of that is every dollar above 790.</t>
        </is>
      </c>
    </row>
    <row r="18">
      <c r="A18" s="10" t="inlineStr">
        <is>
          <t>MarketXLS Functions Used in This Sheet:</t>
        </is>
      </c>
    </row>
    <row r="19">
      <c r="A19" s="11">
        <f>opt_PutCallOIRatio("SPY","2026-09-11")</f>
        <v/>
      </c>
      <c r="C19" s="12" t="inlineStr">
        <is>
          <t>Put to call open interest</t>
        </is>
      </c>
    </row>
    <row r="20">
      <c r="A20" s="11">
        <f>ImpliedVolatilityRank1y("SPY")</f>
        <v/>
      </c>
      <c r="C20" s="12" t="inlineStr">
        <is>
          <t>Where current IV sits in its year</t>
        </is>
      </c>
    </row>
    <row r="21">
      <c r="A21" s="11">
        <f>Beta("SPY")</f>
        <v/>
      </c>
      <c r="C21" s="12" t="inlineStr">
        <is>
          <t>Sensitivity to the market</t>
        </is>
      </c>
    </row>
    <row r="22">
      <c r="A22" s="11">
        <f>AverageDailyVolume("SPY")</f>
        <v/>
      </c>
      <c r="C22" s="12" t="inlineStr">
        <is>
          <t>Liquidity check on the underlying</t>
        </is>
      </c>
    </row>
    <row r="23">
      <c r="A23" s="13" t="inlineStr">
        <is>
          <t>MarketXLS: https://marketxls.com</t>
        </is>
      </c>
    </row>
    <row r="24">
      <c r="A24" s="13" t="inlineStr">
        <is>
          <t>Book a demo: https://marketxls.com/book-demo</t>
        </is>
      </c>
    </row>
  </sheetData>
  <mergeCells count="2">
    <mergeCell ref="A1:I1"/>
    <mergeCell ref="A15:I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4"/>
  <sheetViews>
    <sheetView workbookViewId="0">
      <pane ySplit="6" topLeftCell="A7" activePane="bottomLeft" state="frozen"/>
      <selection pane="bottomLeft" activeCell="A1" sqref="A1"/>
    </sheetView>
  </sheetViews>
  <sheetFormatPr baseColWidth="8" defaultRowHeight="15"/>
  <cols>
    <col width="24" customWidth="1" min="1" max="1"/>
    <col width="26" customWidth="1" min="2" max="2"/>
    <col width="16" customWidth="1" min="3" max="3"/>
    <col width="16" customWidth="1" min="4" max="4"/>
    <col width="16" customWidth="1" min="5" max="5"/>
    <col width="16" customWidth="1" min="6" max="6"/>
    <col width="30" customWidth="1" min="7" max="7"/>
  </cols>
  <sheetData>
    <row r="1" ht="26" customHeight="1">
      <c r="A1" s="1" t="inlineStr">
        <is>
          <t>POSITION SIZING FROM A RISK BUDGET</t>
        </is>
      </c>
    </row>
    <row r="2">
      <c r="A2" s="4" t="inlineStr">
        <is>
          <t>Account size</t>
        </is>
      </c>
      <c r="B2" s="16" t="n">
        <v>100000</v>
      </c>
    </row>
    <row r="3">
      <c r="A3" s="4" t="inlineStr">
        <is>
          <t>Risk per position</t>
        </is>
      </c>
      <c r="B3" s="39" t="n">
        <v>0.02</v>
      </c>
    </row>
    <row r="4">
      <c r="A4" s="4" t="inlineStr">
        <is>
          <t>Risk budget in dollars</t>
        </is>
      </c>
      <c r="B4" s="40">
        <f>B2*B3</f>
        <v/>
      </c>
    </row>
    <row r="6" ht="30" customHeight="1">
      <c r="A6" s="3" t="inlineStr">
        <is>
          <t>Structure</t>
        </is>
      </c>
      <c r="B6" s="3" t="inlineStr">
        <is>
          <t>Legs</t>
        </is>
      </c>
      <c r="C6" s="3" t="inlineStr">
        <is>
          <t>Max loss per contract</t>
        </is>
      </c>
      <c r="D6" s="3" t="inlineStr">
        <is>
          <t>Contracts</t>
        </is>
      </c>
      <c r="E6" s="3" t="inlineStr">
        <is>
          <t>Capital at risk</t>
        </is>
      </c>
      <c r="F6" s="3" t="inlineStr">
        <is>
          <t>Percent of account</t>
        </is>
      </c>
      <c r="G6" s="3" t="inlineStr">
        <is>
          <t>Note</t>
        </is>
      </c>
    </row>
    <row r="7">
      <c r="A7" s="17" t="inlineStr">
        <is>
          <t>Long call</t>
        </is>
      </c>
      <c r="B7" s="18" t="inlineStr">
        <is>
          <t>Buy SPY 780 call</t>
        </is>
      </c>
      <c r="C7" s="19" t="n">
        <v>884.5</v>
      </c>
      <c r="D7" s="18">
        <f>IF(C7&gt;0,ROUNDDOWN($B$4/C7,0),0)</f>
        <v/>
      </c>
      <c r="E7" s="19">
        <f>D7*C7</f>
        <v/>
      </c>
      <c r="F7" s="22">
        <f>IFERROR(E7/$B$2,0)</f>
        <v/>
      </c>
      <c r="G7" s="33" t="inlineStr">
        <is>
          <t>Premium is the whole risk.</t>
        </is>
      </c>
    </row>
    <row r="8">
      <c r="A8" s="23" t="inlineStr">
        <is>
          <t>Long put</t>
        </is>
      </c>
      <c r="B8" s="24" t="inlineStr">
        <is>
          <t>Buy SPY 770 put</t>
        </is>
      </c>
      <c r="C8" s="25" t="n">
        <v>686.5</v>
      </c>
      <c r="D8" s="24">
        <f>IF(C8&gt;0,ROUNDDOWN($B$4/C8,0),0)</f>
        <v/>
      </c>
      <c r="E8" s="25">
        <f>D8*C8</f>
        <v/>
      </c>
      <c r="F8" s="28">
        <f>IFERROR(E8/$B$2,0)</f>
        <v/>
      </c>
      <c r="G8" s="34" t="inlineStr">
        <is>
          <t>Defined risk.</t>
        </is>
      </c>
    </row>
    <row r="9">
      <c r="A9" s="17" t="inlineStr">
        <is>
          <t>Covered call</t>
        </is>
      </c>
      <c r="B9" s="18" t="inlineStr">
        <is>
          <t>Buy 100 shares, sell 790 call</t>
        </is>
      </c>
      <c r="C9" s="19" t="n">
        <v>77185</v>
      </c>
      <c r="D9" s="18">
        <f>IF(C9&gt;0,ROUNDDOWN($B$4/C9,0),0)</f>
        <v/>
      </c>
      <c r="E9" s="19">
        <f>D9*C9</f>
        <v/>
      </c>
      <c r="F9" s="22">
        <f>IFERROR(E9/$B$2,0)</f>
        <v/>
      </c>
      <c r="G9" s="33" t="inlineStr">
        <is>
          <t>Max loss assumes the underlying goes to zero.</t>
        </is>
      </c>
    </row>
    <row r="10">
      <c r="A10" s="23" t="inlineStr">
        <is>
          <t>Cash secured put</t>
        </is>
      </c>
      <c r="B10" s="24" t="inlineStr">
        <is>
          <t>Sell 765 put, hold cash</t>
        </is>
      </c>
      <c r="C10" s="25" t="n">
        <v>75948</v>
      </c>
      <c r="D10" s="24">
        <f>IF(C10&gt;0,ROUNDDOWN($B$4/C10,0),0)</f>
        <v/>
      </c>
      <c r="E10" s="25">
        <f>D10*C10</f>
        <v/>
      </c>
      <c r="F10" s="28">
        <f>IFERROR(E10/$B$2,0)</f>
        <v/>
      </c>
      <c r="G10" s="34" t="inlineStr">
        <is>
          <t>Max loss assumes the underlying goes to zero.</t>
        </is>
      </c>
    </row>
    <row r="11">
      <c r="A11" s="17" t="inlineStr">
        <is>
          <t>Bull call spread</t>
        </is>
      </c>
      <c r="B11" s="18" t="inlineStr">
        <is>
          <t>Buy 780 call, sell 790 call</t>
        </is>
      </c>
      <c r="C11" s="19" t="n">
        <v>435.5</v>
      </c>
      <c r="D11" s="18">
        <f>IF(C11&gt;0,ROUNDDOWN($B$4/C11,0),0)</f>
        <v/>
      </c>
      <c r="E11" s="19">
        <f>D11*C11</f>
        <v/>
      </c>
      <c r="F11" s="22">
        <f>IFERROR(E11/$B$2,0)</f>
        <v/>
      </c>
      <c r="G11" s="33" t="inlineStr">
        <is>
          <t>Defined risk.</t>
        </is>
      </c>
    </row>
    <row r="12">
      <c r="A12" s="23" t="inlineStr">
        <is>
          <t>Bull put spread</t>
        </is>
      </c>
      <c r="B12" s="24" t="inlineStr">
        <is>
          <t>Sell 765 put, buy 755 put</t>
        </is>
      </c>
      <c r="C12" s="25" t="n">
        <v>812.5</v>
      </c>
      <c r="D12" s="24">
        <f>IF(C12&gt;0,ROUNDDOWN($B$4/C12,0),0)</f>
        <v/>
      </c>
      <c r="E12" s="25">
        <f>D12*C12</f>
        <v/>
      </c>
      <c r="F12" s="28">
        <f>IFERROR(E12/$B$2,0)</f>
        <v/>
      </c>
      <c r="G12" s="34" t="inlineStr">
        <is>
          <t>Defined risk.</t>
        </is>
      </c>
    </row>
    <row r="13">
      <c r="A13" s="17" t="inlineStr">
        <is>
          <t>Long straddle</t>
        </is>
      </c>
      <c r="B13" s="18" t="inlineStr">
        <is>
          <t>Buy 776 call and 776 put</t>
        </is>
      </c>
      <c r="C13" s="19" t="n">
        <v>2010</v>
      </c>
      <c r="D13" s="18">
        <f>IF(C13&gt;0,ROUNDDOWN($B$4/C13,0),0)</f>
        <v/>
      </c>
      <c r="E13" s="19">
        <f>D13*C13</f>
        <v/>
      </c>
      <c r="F13" s="22">
        <f>IFERROR(E13/$B$2,0)</f>
        <v/>
      </c>
      <c r="G13" s="33" t="inlineStr">
        <is>
          <t>Premium is the whole risk.</t>
        </is>
      </c>
    </row>
    <row r="14">
      <c r="A14" s="23" t="inlineStr">
        <is>
          <t>Long strangle</t>
        </is>
      </c>
      <c r="B14" s="24" t="inlineStr">
        <is>
          <t>Buy 790 call, buy 765 put</t>
        </is>
      </c>
      <c r="C14" s="25" t="n">
        <v>1001</v>
      </c>
      <c r="D14" s="24">
        <f>IF(C14&gt;0,ROUNDDOWN($B$4/C14,0),0)</f>
        <v/>
      </c>
      <c r="E14" s="25">
        <f>D14*C14</f>
        <v/>
      </c>
      <c r="F14" s="28">
        <f>IFERROR(E14/$B$2,0)</f>
        <v/>
      </c>
      <c r="G14" s="34" t="inlineStr">
        <is>
          <t>Premium is the whole risk.</t>
        </is>
      </c>
    </row>
    <row r="16">
      <c r="A16" s="12" t="inlineStr">
        <is>
          <t>Size on max loss, never on premium. A credit spread collects little and can lose the width of the strikes.</t>
        </is>
      </c>
    </row>
    <row r="18">
      <c r="A18" s="10" t="inlineStr">
        <is>
          <t>MarketXLS Functions Used in This Sheet:</t>
        </is>
      </c>
    </row>
    <row r="19">
      <c r="A19" s="11">
        <f>QM_Last("SPY")</f>
        <v/>
      </c>
      <c r="C19" s="12" t="inlineStr">
        <is>
          <t>Underlying price for share based structures</t>
        </is>
      </c>
    </row>
    <row r="20">
      <c r="A20" s="11">
        <f>FiftyTwoWeekHigh("SPY")</f>
        <v/>
      </c>
      <c r="C20" s="12" t="inlineStr">
        <is>
          <t>Upper end of the yearly range</t>
        </is>
      </c>
    </row>
    <row r="21">
      <c r="A21" s="11">
        <f>FiftyTwoWeekLow("SPY")</f>
        <v/>
      </c>
      <c r="C21" s="12" t="inlineStr">
        <is>
          <t>Lower end of the yearly range</t>
        </is>
      </c>
    </row>
    <row r="22">
      <c r="A22" s="11">
        <f>Sector("SPY")</f>
        <v/>
      </c>
      <c r="C22" s="12" t="inlineStr">
        <is>
          <t>Sector, for concentration checks</t>
        </is>
      </c>
    </row>
    <row r="23">
      <c r="A23" s="13" t="inlineStr">
        <is>
          <t>MarketXLS: https://marketxls.com</t>
        </is>
      </c>
    </row>
    <row r="24">
      <c r="A24" s="13" t="inlineStr">
        <is>
          <t>Book a demo: https://marketxls.com/book-demo</t>
        </is>
      </c>
    </row>
  </sheetData>
  <mergeCells count="1">
    <mergeCell ref="A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22" customWidth="1" min="1" max="1"/>
    <col width="14" customWidth="1" min="2" max="2"/>
    <col width="16" customWidth="1" min="3" max="3"/>
    <col width="16" customWidth="1" min="4" max="4"/>
    <col width="16" customWidth="1" min="5" max="5"/>
    <col width="16" customWidth="1" min="6" max="6"/>
    <col width="40" customWidth="1" min="7" max="7"/>
  </cols>
  <sheetData>
    <row r="1" ht="26" customHeight="1">
      <c r="A1" s="1" t="inlineStr">
        <is>
          <t>WHY THE IV COLUMN MATTERS TO BREAKEVEN</t>
        </is>
      </c>
    </row>
    <row r="2" ht="34" customHeight="1">
      <c r="A2" s="31" t="inlineStr">
        <is>
          <t>A breakeven from the payoff diagram is arithmetic and always right. A breakeven from a model is only as good as the implied volatility behind it. Solve IV from the same mid you trade, under a forward taken from put-call parity.</t>
        </is>
      </c>
    </row>
    <row r="4">
      <c r="A4" s="4" t="inlineStr">
        <is>
          <t>Forward solved from put-call parity</t>
        </is>
      </c>
      <c r="C4" s="41" t="n">
        <v>778.2047</v>
      </c>
      <c r="E4" s="32" t="inlineStr">
        <is>
          <t>Anchor strike 775</t>
        </is>
      </c>
    </row>
    <row r="5">
      <c r="A5" s="4" t="inlineStr">
        <is>
          <t>Implied carry</t>
        </is>
      </c>
      <c r="C5" s="42" t="n">
        <v>0.008469000000000001</v>
      </c>
      <c r="E5" s="32" t="inlineStr">
        <is>
          <t>Not the headline dividend yield</t>
        </is>
      </c>
    </row>
    <row r="6">
      <c r="A6" s="4" t="inlineStr">
        <is>
          <t>Anchor call IV</t>
        </is>
      </c>
      <c r="C6" s="42" t="n">
        <v>0.120316</v>
      </c>
      <c r="E6" s="4" t="inlineStr">
        <is>
          <t>Anchor put IV</t>
        </is>
      </c>
      <c r="F6" s="42" t="n">
        <v>0.120316</v>
      </c>
    </row>
    <row r="7" ht="28" customHeight="1">
      <c r="A7" s="12" t="inlineStr">
        <is>
          <t>The call and the put at the anchor strike must solve to the same implied volatility. If they do not, the forward is wrong and every model breakeven built on it is wrong too.</t>
        </is>
      </c>
    </row>
    <row r="10" ht="30" customHeight="1">
      <c r="A10" s="3" t="inlineStr">
        <is>
          <t>Contract</t>
        </is>
      </c>
      <c r="B10" s="3" t="inlineStr">
        <is>
          <t>Traded mid</t>
        </is>
      </c>
      <c r="C10" s="3" t="inlineStr">
        <is>
          <t>IV from the mid</t>
        </is>
      </c>
      <c r="D10" s="3" t="inlineStr">
        <is>
          <t>Vendor IV</t>
        </is>
      </c>
      <c r="E10" s="3" t="inlineStr">
        <is>
          <t>Price at vendor IV</t>
        </is>
      </c>
      <c r="F10" s="3" t="inlineStr">
        <is>
          <t>Mispricing</t>
        </is>
      </c>
      <c r="G10" s="3" t="inlineStr">
        <is>
          <t>What it does to a model breakeven</t>
        </is>
      </c>
    </row>
    <row r="11">
      <c r="A11" s="18" t="inlineStr">
        <is>
          <t>780 call</t>
        </is>
      </c>
      <c r="B11" s="19" t="n">
        <v>8.845000000000001</v>
      </c>
      <c r="C11" s="22" t="n">
        <v>0.11526</v>
      </c>
      <c r="D11" s="22" t="n">
        <v>0.123483</v>
      </c>
      <c r="E11" s="19" t="n">
        <v>9.536</v>
      </c>
      <c r="F11" s="21" t="n">
        <v>0.6909999999999999</v>
      </c>
      <c r="G11" s="18" t="inlineStr">
        <is>
          <t>Shifts the breakeven by 0.69 points</t>
        </is>
      </c>
    </row>
    <row r="12">
      <c r="A12" s="24" t="inlineStr">
        <is>
          <t>770 put</t>
        </is>
      </c>
      <c r="B12" s="25" t="n">
        <v>6.865</v>
      </c>
      <c r="C12" s="28" t="n">
        <v>0.124793</v>
      </c>
      <c r="D12" s="28" t="n">
        <v>0.114328</v>
      </c>
      <c r="E12" s="25" t="n">
        <v>6.034</v>
      </c>
      <c r="F12" s="27" t="n">
        <v>-0.831</v>
      </c>
      <c r="G12" s="24" t="inlineStr">
        <is>
          <t>Shifts the breakeven by 0.83 points</t>
        </is>
      </c>
    </row>
    <row r="13">
      <c r="A13" s="18" t="inlineStr">
        <is>
          <t>776 call</t>
        </is>
      </c>
      <c r="B13" s="19" t="n">
        <v>11.11</v>
      </c>
      <c r="C13" s="22" t="n">
        <v>0.118635</v>
      </c>
      <c r="D13" s="22" t="n">
        <v>0.128106</v>
      </c>
      <c r="E13" s="19" t="n">
        <v>11.903</v>
      </c>
      <c r="F13" s="21" t="n">
        <v>0.793</v>
      </c>
      <c r="G13" s="18" t="inlineStr">
        <is>
          <t>Shifts the breakeven by 0.79 points</t>
        </is>
      </c>
    </row>
    <row r="14">
      <c r="A14" s="24" t="inlineStr">
        <is>
          <t>776 put</t>
        </is>
      </c>
      <c r="B14" s="25" t="n">
        <v>8.99</v>
      </c>
      <c r="C14" s="28" t="n">
        <v>0.119567</v>
      </c>
      <c r="D14" s="28" t="n">
        <v>0.107644</v>
      </c>
      <c r="E14" s="25" t="n">
        <v>7.992</v>
      </c>
      <c r="F14" s="27" t="n">
        <v>-0.998</v>
      </c>
      <c r="G14" s="24" t="inlineStr">
        <is>
          <t>Shifts the breakeven by 1.00 points</t>
        </is>
      </c>
    </row>
    <row r="17">
      <c r="A17" s="10" t="inlineStr">
        <is>
          <t>MarketXLS Functions Used in This Sheet:</t>
        </is>
      </c>
    </row>
    <row r="18">
      <c r="A18" s="11">
        <f>opt_ImpliedVolatility(Spot,Mid,"2026-09-11","Call",780)</f>
        <v/>
      </c>
      <c r="C18" s="12" t="inlineStr">
        <is>
          <t>IV solved from your own mid</t>
        </is>
      </c>
    </row>
    <row r="19">
      <c r="A19" s="11">
        <f>ImpliedVolatility30d("SPY")</f>
        <v/>
      </c>
      <c r="C19" s="12" t="inlineStr">
        <is>
          <t>30 day implied volatility</t>
        </is>
      </c>
    </row>
    <row r="20">
      <c r="A20" s="11">
        <f>ImpliedVolatilityRank1y("SPY")</f>
        <v/>
      </c>
      <c r="C20" s="12" t="inlineStr">
        <is>
          <t>IV rank over one year</t>
        </is>
      </c>
    </row>
    <row r="21">
      <c r="A21" s="11">
        <f>TreasuryRate10y("SPY")</f>
        <v/>
      </c>
      <c r="C21" s="12" t="inlineStr">
        <is>
          <t>Rate reference, returns percent so divide by 100</t>
        </is>
      </c>
    </row>
    <row r="22">
      <c r="A22" s="13" t="inlineStr">
        <is>
          <t>MarketXLS: https://marketxls.com</t>
        </is>
      </c>
    </row>
    <row r="23">
      <c r="A23" s="13" t="inlineStr">
        <is>
          <t>Book a demo: https://marketxls.com/book-demo</t>
        </is>
      </c>
    </row>
  </sheetData>
  <mergeCells count="3">
    <mergeCell ref="A2:G2"/>
    <mergeCell ref="A1:G1"/>
    <mergeCell ref="A7:G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2026-08-15T18:14:18Z</dcterms:created>
  <dcterms:modified xsi:type="dcterms:W3CDTF">2026-08-15T18:14:18Z</dcterms:modified>
</cp:coreProperties>
</file>