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How To Use" sheetId="1" state="visible" r:id="rId1"/>
    <sheet name="Payoff Chart" sheetId="2" state="visible" r:id="rId2"/>
    <sheet name="Scenario Analysis" sheetId="3" state="visible" r:id="rId3"/>
    <sheet name="Strategy Library" sheetId="4" state="visible" r:id="rId4"/>
    <sheet name="Position Sizing" sheetId="5" state="visible" r:id="rId5"/>
    <sheet name="Greeks &amp; Chai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9">
    <numFmt numFmtId="164" formatCode="$#,##0.00"/>
    <numFmt numFmtId="165" formatCode="0.0%"/>
    <numFmt numFmtId="166" formatCode="$#,##0.00;[Red]($#,##0.00)"/>
    <numFmt numFmtId="167" formatCode="0.00&quot;x&quot;"/>
    <numFmt numFmtId="168" formatCode="$#,##0;[Red]($#,##0)"/>
    <numFmt numFmtId="169" formatCode="0.0%;[Red]-0.0%"/>
    <numFmt numFmtId="170" formatCode="$#,##0"/>
    <numFmt numFmtId="171" formatCode="0.000"/>
    <numFmt numFmtId="172" formatCode="0.0000"/>
  </numFmts>
  <fonts count="22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FFFFFF"/>
      <sz val="10"/>
    </font>
    <font>
      <b val="1"/>
      <color rgb="00FFFFFF"/>
      <sz val="11"/>
    </font>
    <font>
      <sz val="10"/>
    </font>
    <font>
      <b val="1"/>
      <color rgb="00FFFFFF"/>
      <sz val="10"/>
    </font>
    <font>
      <sz val="9"/>
    </font>
    <font>
      <b val="1"/>
      <sz val="9"/>
    </font>
    <font>
      <b val="1"/>
      <sz val="10"/>
    </font>
    <font>
      <color rgb="000563C1"/>
      <sz val="10"/>
      <u val="single"/>
    </font>
    <font>
      <i val="1"/>
      <color rgb="00D62828"/>
      <sz val="9"/>
    </font>
    <font>
      <name val="Consolas"/>
      <b val="1"/>
      <color rgb="00003366"/>
      <sz val="9"/>
    </font>
    <font>
      <color rgb="006B7280"/>
      <sz val="9"/>
    </font>
    <font>
      <i val="1"/>
      <color rgb="00FFFFFF"/>
      <sz val="9"/>
    </font>
    <font>
      <b val="1"/>
      <sz val="11"/>
    </font>
    <font>
      <name val="Consolas"/>
      <sz val="8"/>
    </font>
    <font>
      <i val="1"/>
      <color rgb="006B7280"/>
      <sz val="9"/>
    </font>
    <font>
      <b val="1"/>
      <color rgb="00FFFFFF"/>
      <sz val="9"/>
    </font>
    <font>
      <sz val="8"/>
    </font>
    <font>
      <b val="1"/>
      <sz val="8"/>
    </font>
    <font>
      <b val="1"/>
      <color rgb="00FFFFFF"/>
      <sz val="14"/>
    </font>
    <font>
      <b val="1"/>
      <color rgb="00003366"/>
      <sz val="12"/>
    </font>
  </fonts>
  <fills count="9">
    <fill>
      <patternFill/>
    </fill>
    <fill>
      <patternFill patternType="gray125"/>
    </fill>
    <fill>
      <patternFill patternType="solid">
        <fgColor rgb="00003366"/>
      </patternFill>
    </fill>
    <fill>
      <patternFill patternType="solid">
        <fgColor rgb="000066CC"/>
      </patternFill>
    </fill>
    <fill>
      <patternFill patternType="solid">
        <fgColor rgb="00F4F6F8"/>
      </patternFill>
    </fill>
    <fill>
      <patternFill patternType="solid">
        <fgColor rgb="00FFFF00"/>
      </patternFill>
    </fill>
    <fill>
      <patternFill patternType="solid">
        <fgColor rgb="00FFF3B0"/>
      </patternFill>
    </fill>
    <fill>
      <patternFill patternType="solid">
        <fgColor rgb="00D7F0E8"/>
      </patternFill>
    </fill>
    <fill>
      <patternFill patternType="solid">
        <fgColor rgb="00FBE0E0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 style="medium">
        <color rgb="00003366"/>
      </left>
      <right style="medium">
        <color rgb="00003366"/>
      </right>
      <top style="medium">
        <color rgb="00003366"/>
      </top>
      <bottom style="medium">
        <color rgb="00003366"/>
      </bottom>
    </border>
  </borders>
  <cellStyleXfs count="1">
    <xf numFmtId="0" fontId="0" fillId="0" borderId="0"/>
  </cellStyleXfs>
  <cellXfs count="9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8" fillId="0" borderId="1" pivotButton="0" quotePrefix="0" xfId="0"/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8" fillId="4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8" fillId="5" borderId="2" applyAlignment="1" pivotButton="0" quotePrefix="0" xfId="0">
      <alignment horizontal="center" vertical="center" wrapText="1"/>
    </xf>
    <xf numFmtId="164" fontId="14" fillId="0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center" vertical="center" wrapText="1"/>
    </xf>
    <xf numFmtId="10" fontId="8" fillId="5" borderId="2" applyAlignment="1" pivotButton="0" quotePrefix="0" xfId="0">
      <alignment horizontal="center" vertical="center" wrapText="1"/>
    </xf>
    <xf numFmtId="10" fontId="14" fillId="0" borderId="1" applyAlignment="1" pivotButton="0" quotePrefix="0" xfId="0">
      <alignment horizontal="center" vertical="center" wrapText="1"/>
    </xf>
    <xf numFmtId="165" fontId="1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8" fillId="5" borderId="2" applyAlignment="1" pivotButton="0" quotePrefix="0" xfId="0">
      <alignment horizontal="center" vertical="center" wrapText="1"/>
    </xf>
    <xf numFmtId="10" fontId="4" fillId="0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5" fillId="2" borderId="1" pivotButton="0" quotePrefix="0" xfId="0"/>
    <xf numFmtId="166" fontId="14" fillId="6" borderId="1" pivotButton="0" quotePrefix="0" xfId="0"/>
    <xf numFmtId="0" fontId="4" fillId="4" borderId="1" applyAlignment="1" pivotButton="0" quotePrefix="0" xfId="0">
      <alignment horizontal="center" vertical="center" wrapText="1"/>
    </xf>
    <xf numFmtId="166" fontId="8" fillId="0" borderId="1" applyAlignment="1" pivotButton="0" quotePrefix="0" xfId="0">
      <alignment horizontal="center" vertical="center" wrapText="1"/>
    </xf>
    <xf numFmtId="166" fontId="8" fillId="7" borderId="1" applyAlignment="1" pivotButton="0" quotePrefix="0" xfId="0">
      <alignment horizontal="center" vertical="center" wrapText="1"/>
    </xf>
    <xf numFmtId="166" fontId="8" fillId="8" borderId="1" applyAlignment="1" pivotButton="0" quotePrefix="0" xfId="0">
      <alignment horizontal="center" vertical="center" wrapText="1"/>
    </xf>
    <xf numFmtId="167" fontId="8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 wrapText="1"/>
    </xf>
    <xf numFmtId="165" fontId="8" fillId="0" borderId="1" applyAlignment="1" pivotButton="0" quotePrefix="0" xfId="0">
      <alignment horizontal="center" vertical="center" wrapText="1"/>
    </xf>
    <xf numFmtId="0" fontId="16" fillId="0" borderId="0" pivotButton="0" quotePrefix="0" xfId="0"/>
    <xf numFmtId="0" fontId="5" fillId="3" borderId="0" pivotButton="0" quotePrefix="0" xfId="0"/>
    <xf numFmtId="0" fontId="17" fillId="2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168" fontId="6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168" fontId="18" fillId="0" borderId="1" pivotButton="0" quotePrefix="0" xfId="0"/>
    <xf numFmtId="168" fontId="19" fillId="0" borderId="1" pivotButton="0" quotePrefix="0" xfId="0"/>
    <xf numFmtId="164" fontId="7" fillId="4" borderId="1" applyAlignment="1" pivotButton="0" quotePrefix="0" xfId="0">
      <alignment horizontal="center" vertical="center" wrapText="1"/>
    </xf>
    <xf numFmtId="168" fontId="6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0" fontId="20" fillId="2" borderId="0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8" fillId="5" borderId="1" applyAlignment="1" pivotButton="0" quotePrefix="0" xfId="0">
      <alignment horizontal="center" vertical="center" wrapText="1"/>
    </xf>
    <xf numFmtId="169" fontId="6" fillId="0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9" fontId="6" fillId="4" borderId="1" applyAlignment="1" pivotButton="0" quotePrefix="0" xfId="0">
      <alignment horizontal="center" vertical="center" wrapText="1"/>
    </xf>
    <xf numFmtId="164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1" fontId="8" fillId="0" borderId="1" applyAlignment="1" pivotButton="0" quotePrefix="0" xfId="0">
      <alignment horizontal="center" vertical="center" wrapText="1"/>
    </xf>
    <xf numFmtId="170" fontId="8" fillId="5" borderId="2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165" fontId="8" fillId="5" borderId="2" applyAlignment="1" pivotButton="0" quotePrefix="0" xfId="0">
      <alignment horizontal="center" vertical="center" wrapText="1"/>
    </xf>
    <xf numFmtId="1" fontId="8" fillId="5" borderId="2" applyAlignment="1" pivotButton="0" quotePrefix="0" xfId="0">
      <alignment horizontal="center" vertical="center" wrapText="1"/>
    </xf>
    <xf numFmtId="164" fontId="8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 wrapText="1"/>
    </xf>
    <xf numFmtId="1" fontId="21" fillId="6" borderId="1" applyAlignment="1" pivotButton="0" quotePrefix="0" xfId="0">
      <alignment horizontal="center" vertical="center" wrapText="1"/>
    </xf>
    <xf numFmtId="10" fontId="8" fillId="0" borderId="1" applyAlignment="1" pivotButton="0" quotePrefix="0" xfId="0">
      <alignment horizontal="center" vertical="center" wrapText="1"/>
    </xf>
    <xf numFmtId="170" fontId="6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170" fontId="6" fillId="4" borderId="1" applyAlignment="1" pivotButton="0" quotePrefix="0" xfId="0">
      <alignment horizontal="center" vertical="center" wrapText="1"/>
    </xf>
    <xf numFmtId="1" fontId="6" fillId="4" borderId="1" applyAlignment="1" pivotButton="0" quotePrefix="0" xfId="0">
      <alignment horizontal="center" vertical="center" wrapText="1"/>
    </xf>
    <xf numFmtId="171" fontId="8" fillId="0" borderId="1" applyAlignment="1" pivotButton="0" quotePrefix="0" xfId="0">
      <alignment horizontal="center" vertical="center" wrapText="1"/>
    </xf>
    <xf numFmtId="3" fontId="8" fillId="0" borderId="1" applyAlignment="1" pivotButton="0" quotePrefix="0" xfId="0">
      <alignment horizontal="center" vertical="center" wrapText="1"/>
    </xf>
    <xf numFmtId="3" fontId="6" fillId="0" borderId="1" applyAlignment="1" pivotButton="0" quotePrefix="0" xfId="0">
      <alignment horizontal="center" vertical="center" wrapText="1"/>
    </xf>
    <xf numFmtId="171" fontId="6" fillId="0" borderId="1" applyAlignment="1" pivotButton="0" quotePrefix="0" xfId="0">
      <alignment horizontal="center" vertical="center" wrapText="1"/>
    </xf>
    <xf numFmtId="172" fontId="6" fillId="0" borderId="1" applyAlignment="1" pivotButton="0" quotePrefix="0" xfId="0">
      <alignment horizontal="center" vertical="center" wrapText="1"/>
    </xf>
    <xf numFmtId="3" fontId="6" fillId="4" borderId="1" applyAlignment="1" pivotButton="0" quotePrefix="0" xfId="0">
      <alignment horizontal="center" vertical="center" wrapText="1"/>
    </xf>
    <xf numFmtId="171" fontId="6" fillId="4" borderId="1" applyAlignment="1" pivotButton="0" quotePrefix="0" xfId="0">
      <alignment horizontal="center" vertical="center" wrapText="1"/>
    </xf>
    <xf numFmtId="172" fontId="6" fillId="4" borderId="1" applyAlignment="1" pivotButton="0" quotePrefix="0" xfId="0">
      <alignment horizontal="center" vertical="center" wrapText="1"/>
    </xf>
    <xf numFmtId="164" fontId="7" fillId="6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center" vertical="center" wrapText="1"/>
    </xf>
    <xf numFmtId="3" fontId="6" fillId="6" borderId="1" applyAlignment="1" pivotButton="0" quotePrefix="0" xfId="0">
      <alignment horizontal="center" vertical="center" wrapText="1"/>
    </xf>
    <xf numFmtId="171" fontId="6" fillId="6" borderId="1" applyAlignment="1" pivotButton="0" quotePrefix="0" xfId="0">
      <alignment horizontal="center" vertical="center" wrapText="1"/>
    </xf>
    <xf numFmtId="172" fontId="6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AAPL Option Payoff Chart - Profit and Loss by Underlying Price</a:t>
            </a:r>
          </a:p>
        </rich>
      </tx>
    </title>
    <plotArea>
      <lineChart>
        <grouping val="standard"/>
        <ser>
          <idx val="0"/>
          <order val="0"/>
          <tx>
            <strRef>
              <f>'Payoff Chart'!F22</f>
            </strRef>
          </tx>
          <spPr>
            <a:ln w="28000">
              <a:solidFill>
                <a:srgbClr val="0066C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Chart'!$F$23:$F$66</f>
            </numRef>
          </val>
          <smooth val="0"/>
        </ser>
        <ser>
          <idx val="1"/>
          <order val="1"/>
          <tx>
            <strRef>
              <f>'Payoff Chart'!G22</f>
            </strRef>
          </tx>
          <spPr>
            <a:ln w="28000">
              <a:solidFill>
                <a:srgbClr val="F4A261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Chart'!$G$23:$G$66</f>
            </numRef>
          </val>
          <smooth val="0"/>
        </ser>
        <ser>
          <idx val="2"/>
          <order val="2"/>
          <tx>
            <strRef>
              <f>'Payoff Chart'!H22</f>
            </strRef>
          </tx>
          <spPr>
            <a:ln w="12000">
              <a:solidFill>
                <a:srgbClr val="9CA3AF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Chart'!$H$23:$H$66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Underlying Price at Expiry ($)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Profit / Loss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MarketXLS</author>
  </authors>
  <commentList>
    <comment ref="A6" authorId="0" shapeId="0">
      <text>
        <t>Ticker symbol. Every quote on every sheet follows this cell.</t>
      </text>
    </comment>
    <comment ref="B6" authorId="0" shapeId="0">
      <text>
        <t>Expiry in YYYY-MM-DD format. OptionSymbol needs this exact shape.</t>
      </text>
    </comment>
    <comment ref="E6" authorId="0" shapeId="0">
      <text>
        <t>Annual risk free rate as a decimal. 0.04 = 4%.</t>
      </text>
    </comment>
    <comment ref="G6" authorId="0" shapeId="0">
      <text>
        <t>Days still left when the pre-expiry line is drawn. Set 0 for the expiry line.</t>
      </text>
    </comment>
    <comment ref="E10" authorId="0" shapeId="0">
      <text>
        <t>Pulls the bid ask midpoint. Type over it with your own fill price.</t>
      </text>
    </comment>
    <comment ref="E11" authorId="0" shapeId="0">
      <text>
        <t>Pulls the bid ask midpoint. Type over it with your own fill price.</t>
      </text>
    </comment>
    <comment ref="E12" authorId="0" shapeId="0">
      <text>
        <t>Pulls the bid ask midpoint. Type over it with your own fill price.</t>
      </text>
    </comment>
    <comment ref="E13" authorId="0" shapeId="0">
      <text>
        <t>Pulls the bid ask midpoint. Type over it with your own fill price.</t>
      </text>
    </comment>
    <comment ref="B23" authorId="0" shapeId="0">
      <text>
        <t>Lowest underlying price on the chart.</t>
      </text>
    </comment>
    <comment ref="D23" authorId="0" shapeId="0">
      <text>
        <t>Dollar step between grid points.</t>
      </text>
    </comment>
  </commentList>
</comments>
</file>

<file path=xl/comments/comment2.xml><?xml version="1.0" encoding="utf-8"?>
<comments xmlns="http://schemas.openxmlformats.org/spreadsheetml/2006/main">
  <authors>
    <author>MarketXLS</author>
  </authors>
  <commentList>
    <comment ref="C6" authorId="0" shapeId="0">
      <text>
        <t>Percent gap between scenarios. 0.05 gives -15% to +15%.</t>
      </text>
    </comment>
  </commentList>
</comments>
</file>

<file path=xl/comments/comment3.xml><?xml version="1.0" encoding="utf-8"?>
<comments xmlns="http://schemas.openxmlformats.org/spreadsheetml/2006/main">
  <authors>
    <author>MarketXLS</author>
  </authors>
  <commentList>
    <comment ref="C5" authorId="0" shapeId="0">
      <text>
        <t>Total capital in the account.</t>
      </text>
    </comment>
    <comment ref="C6" authorId="0" shapeId="0">
      <text>
        <t>Share of the account you accept losing on one idea.</t>
      </text>
    </comment>
    <comment ref="C7" authorId="0" shapeId="0">
      <text>
        <t>How many of these you intend to run at once.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3</row>
      <rowOff>0</rowOff>
    </from>
    <ext cx="9360000" cy="39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rketxls.com" TargetMode="External" Id="rId1" /><Relationship Type="http://schemas.openxmlformats.org/officeDocument/2006/relationships/hyperlink" Target="https://marketxls.com/book-demo" TargetMode="External" Id="rId2" /><Relationship Type="http://schemas.openxmlformats.org/officeDocument/2006/relationships/hyperlink" Target="https://optionxls.com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62" customWidth="1" min="3" max="3"/>
    <col width="46" customWidth="1" min="4" max="4"/>
    <col width="18" customWidth="1" min="5" max="5"/>
    <col width="14" customWidth="1" min="6" max="6"/>
  </cols>
  <sheetData>
    <row r="1" ht="26" customHeight="1">
      <c r="A1" s="1" t="inlineStr">
        <is>
          <t>OPTION PAYOFF CHART - PROFIT AND LOSS DIAGRAM BUILDER</t>
        </is>
      </c>
    </row>
    <row r="2">
      <c r="A2" s="2" t="inlineStr">
        <is>
          <t>Live MarketXLS formula version   |   Underlying: AAPL   |   Expiry: 2026-09-18   |   Data as of: 2026-08-15</t>
        </is>
      </c>
    </row>
    <row r="4" ht="20" customHeight="1">
      <c r="A4" s="3" t="inlineStr">
        <is>
          <t>What This Workbook Does</t>
        </is>
      </c>
    </row>
    <row r="5">
      <c r="A5" s="4" t="inlineStr">
        <is>
          <t>A payoff chart plots the profit or loss of an option position against every possible price of the underlying. This workbook builds that chart from a four leg position, draws the at expiry line and the pre expiry line together, and marks the breakeven, maximum profit and maximum loss. Change a strike or a premium and the whole diagram redraws.</t>
        </is>
      </c>
    </row>
    <row r="6"/>
    <row r="7"/>
    <row r="9" ht="20" customHeight="1">
      <c r="A9" s="3" t="inlineStr">
        <is>
          <t>Sheet Guide</t>
        </is>
      </c>
    </row>
    <row r="10" ht="30" customHeight="1">
      <c r="A10" s="5" t="inlineStr">
        <is>
          <t>#</t>
        </is>
      </c>
      <c r="B10" s="5" t="inlineStr">
        <is>
          <t>Sheet</t>
        </is>
      </c>
      <c r="C10" s="5" t="inlineStr">
        <is>
          <t>What it does</t>
        </is>
      </c>
      <c r="D10" s="5" t="inlineStr">
        <is>
          <t>Where you type</t>
        </is>
      </c>
      <c r="E10" s="5" t="inlineStr">
        <is>
          <t>Cells</t>
        </is>
      </c>
      <c r="F10" s="5" t="inlineStr">
        <is>
          <t>Recalc</t>
        </is>
      </c>
    </row>
    <row r="11" ht="42" customHeight="1">
      <c r="A11" s="6" t="n">
        <v>1</v>
      </c>
      <c r="B11" s="7" t="inlineStr">
        <is>
          <t>Payoff Chart</t>
        </is>
      </c>
      <c r="C11" s="8" t="inlineStr">
        <is>
          <t>Position inputs, four leg builder, the payoff grid and the chart itself. Every other sheet reads from here.</t>
        </is>
      </c>
      <c r="D11" s="8" t="inlineStr">
        <is>
          <t>Ticker, spot, rate, dividend yield, days, and one row per leg</t>
        </is>
      </c>
      <c r="E11" s="6" t="inlineStr">
        <is>
          <t>B6:F6, B11:G14</t>
        </is>
      </c>
      <c r="F11" s="6" t="inlineStr">
        <is>
          <t>Instant</t>
        </is>
      </c>
    </row>
    <row r="12" ht="42" customHeight="1">
      <c r="A12" s="9" t="n">
        <v>2</v>
      </c>
      <c r="B12" s="10" t="inlineStr">
        <is>
          <t>Scenario Analysis</t>
        </is>
      </c>
      <c r="C12" s="11" t="inlineStr">
        <is>
          <t>Seven underlying prices from a large fall to a large rally, each priced at expiry and before expiry.</t>
        </is>
      </c>
      <c r="D12" s="11" t="inlineStr">
        <is>
          <t>Scenario step size in percent</t>
        </is>
      </c>
      <c r="E12" s="9" t="inlineStr">
        <is>
          <t>C6</t>
        </is>
      </c>
      <c r="F12" s="9" t="inlineStr">
        <is>
          <t>Instant</t>
        </is>
      </c>
    </row>
    <row r="13" ht="42" customHeight="1">
      <c r="A13" s="6" t="n">
        <v>3</v>
      </c>
      <c r="B13" s="7" t="inlineStr">
        <is>
          <t>Strategy Library</t>
        </is>
      </c>
      <c r="C13" s="8" t="inlineStr">
        <is>
          <t>Six standard structures with their leg recipe, breakeven rule and payoff shape, so you can pick a shape then build it.</t>
        </is>
      </c>
      <c r="D13" s="8" t="inlineStr">
        <is>
          <t>Nothing, this is a reference sheet</t>
        </is>
      </c>
      <c r="E13" s="6" t="inlineStr">
        <is>
          <t>-</t>
        </is>
      </c>
      <c r="F13" s="6" t="inlineStr">
        <is>
          <t>-</t>
        </is>
      </c>
    </row>
    <row r="14" ht="42" customHeight="1">
      <c r="A14" s="9" t="n">
        <v>4</v>
      </c>
      <c r="B14" s="10" t="inlineStr">
        <is>
          <t>Position Sizing</t>
        </is>
      </c>
      <c r="C14" s="11" t="inlineStr">
        <is>
          <t>Turns account size and risk tolerance into a contract count for the position on sheet 1.</t>
        </is>
      </c>
      <c r="D14" s="11" t="inlineStr">
        <is>
          <t>Account size and maximum risk percent</t>
        </is>
      </c>
      <c r="E14" s="9" t="inlineStr">
        <is>
          <t>C6:C7</t>
        </is>
      </c>
      <c r="F14" s="9" t="inlineStr">
        <is>
          <t>Instant</t>
        </is>
      </c>
    </row>
    <row r="15" ht="42" customHeight="1">
      <c r="A15" s="6" t="n">
        <v>5</v>
      </c>
      <c r="B15" s="7" t="inlineStr">
        <is>
          <t>Greeks &amp; Chain</t>
        </is>
      </c>
      <c r="C15" s="8" t="inlineStr">
        <is>
          <t>The full strike ladder with bid, ask, implied volatility, open interest and the five Greeks for both calls and puts.</t>
        </is>
      </c>
      <c r="D15" s="8" t="inlineStr">
        <is>
          <t>Nothing, driven by sheet 1 inputs</t>
        </is>
      </c>
      <c r="E15" s="6" t="inlineStr">
        <is>
          <t>-</t>
        </is>
      </c>
      <c r="F15" s="6" t="inlineStr">
        <is>
          <t>Live</t>
        </is>
      </c>
    </row>
    <row r="17" ht="20" customHeight="1">
      <c r="A17" s="3" t="inlineStr">
        <is>
          <t>How To Read A Payoff Chart</t>
        </is>
      </c>
    </row>
    <row r="18" ht="30" customHeight="1">
      <c r="A18" s="5" t="inlineStr"/>
      <c r="B18" s="5" t="inlineStr">
        <is>
          <t>Element</t>
        </is>
      </c>
      <c r="C18" s="5" t="inlineStr">
        <is>
          <t>What it tells you</t>
        </is>
      </c>
      <c r="D18" s="5" t="inlineStr"/>
      <c r="E18" s="5" t="inlineStr"/>
      <c r="F18" s="5" t="inlineStr"/>
    </row>
    <row r="19" ht="30" customHeight="1">
      <c r="B19" s="12" t="inlineStr">
        <is>
          <t>The horizontal axis</t>
        </is>
      </c>
      <c r="C19" s="13" t="inlineStr">
        <is>
          <t>Price of the underlying at expiry, not time. Each point answers 'if the stock finishes here, what do I make'.</t>
        </is>
      </c>
      <c r="D19" s="14" t="n"/>
      <c r="E19" s="14" t="n"/>
      <c r="F19" s="14" t="n"/>
    </row>
    <row r="20" ht="30" customHeight="1">
      <c r="B20" s="15" t="inlineStr">
        <is>
          <t>The zero line</t>
        </is>
      </c>
      <c r="C20" s="16" t="inlineStr">
        <is>
          <t>Every crossing of the zero line is a breakeven. A vertical spread has one, a straddle has two, a butterfly has two.</t>
        </is>
      </c>
      <c r="D20" s="17" t="n"/>
      <c r="E20" s="17" t="n"/>
      <c r="F20" s="17" t="n"/>
    </row>
    <row r="21" ht="30" customHeight="1">
      <c r="B21" s="12" t="inlineStr">
        <is>
          <t>The at expiry line</t>
        </is>
      </c>
      <c r="C21" s="13" t="inlineStr">
        <is>
          <t>Straight segments with elbows at the strikes. This is the payoff once all time value is gone.</t>
        </is>
      </c>
      <c r="D21" s="14" t="n"/>
      <c r="E21" s="14" t="n"/>
      <c r="F21" s="14" t="n"/>
    </row>
    <row r="22" ht="30" customHeight="1">
      <c r="B22" s="15" t="inlineStr">
        <is>
          <t>The pre expiry line</t>
        </is>
      </c>
      <c r="C22" s="16" t="inlineStr">
        <is>
          <t>A smooth curve above or below the expiry line. The gap between the two lines is the time value still in the position.</t>
        </is>
      </c>
      <c r="D22" s="17" t="n"/>
      <c r="E22" s="17" t="n"/>
      <c r="F22" s="17" t="n"/>
    </row>
    <row r="23" ht="30" customHeight="1">
      <c r="B23" s="12" t="inlineStr">
        <is>
          <t>Flat segments</t>
        </is>
      </c>
      <c r="C23" s="13" t="inlineStr">
        <is>
          <t>A flat segment means an option has expired worthless or is fully offset. Flat on the right of a spread is the capped maximum profit.</t>
        </is>
      </c>
      <c r="D23" s="14" t="n"/>
      <c r="E23" s="14" t="n"/>
      <c r="F23" s="14" t="n"/>
    </row>
    <row r="24" ht="30" customHeight="1">
      <c r="B24" s="15" t="inlineStr">
        <is>
          <t>Slope</t>
        </is>
      </c>
      <c r="C24" s="16" t="inlineStr">
        <is>
          <t>The slope of the line is position delta in dollars per point. A steeper line means a larger move in profit for the same move in the stock.</t>
        </is>
      </c>
      <c r="D24" s="17" t="n"/>
      <c r="E24" s="17" t="n"/>
      <c r="F24" s="17" t="n"/>
    </row>
    <row r="26" ht="20" customHeight="1">
      <c r="A26" s="3" t="inlineStr">
        <is>
          <t>Before You Start</t>
        </is>
      </c>
    </row>
    <row r="27">
      <c r="B27" s="18" t="inlineStr">
        <is>
          <t>- Install the MarketXLS add in and sign in, or every formula returns #NAME?.</t>
        </is>
      </c>
    </row>
    <row r="28">
      <c r="B28" s="18" t="inlineStr">
        <is>
          <t>- Type your ticker in cell B6 of the Payoff Chart sheet. Every quote follows it.</t>
        </is>
      </c>
    </row>
    <row r="29">
      <c r="B29" s="18" t="inlineStr">
        <is>
          <t>- Set the expiry date in cell C6. Use the YYYY-MM-DD format that OptionSymbol expects.</t>
        </is>
      </c>
    </row>
    <row r="30">
      <c r="B30" s="18" t="inlineStr">
        <is>
          <t>- Fill one leg per row in the leg builder. Set contracts to 0 to switch a leg off.</t>
        </is>
      </c>
    </row>
    <row r="31">
      <c r="B31" s="18" t="inlineStr">
        <is>
          <t>- Premiums pull as the bid ask midpoint. Overwrite them with your own fill price.</t>
        </is>
      </c>
    </row>
    <row r="32">
      <c r="B32" s="18" t="inlineStr">
        <is>
          <t>- Risk free rate and dividend yield are yellow input cells, set them to your own model.</t>
        </is>
      </c>
    </row>
    <row r="34" ht="20" customHeight="1">
      <c r="A34" s="3" t="inlineStr">
        <is>
          <t>Links</t>
        </is>
      </c>
    </row>
    <row r="35">
      <c r="B35" s="19" t="inlineStr">
        <is>
          <t>MarketXLS</t>
        </is>
      </c>
      <c r="C35" s="20" t="inlineStr">
        <is>
          <t>https://marketxls.com</t>
        </is>
      </c>
    </row>
    <row r="36">
      <c r="B36" s="19" t="inlineStr">
        <is>
          <t>Book a demo</t>
        </is>
      </c>
      <c r="C36" s="20" t="inlineStr">
        <is>
          <t>https://marketxls.com/book-demo</t>
        </is>
      </c>
    </row>
    <row r="37">
      <c r="B37" s="19" t="inlineStr">
        <is>
          <t>OptionXLS</t>
        </is>
      </c>
      <c r="C37" s="20" t="inlineStr">
        <is>
          <t>https://optionxls.com</t>
        </is>
      </c>
    </row>
    <row r="39">
      <c r="A39" s="21" t="inlineStr">
        <is>
          <t>Educational tool only. Nothing here is investment advice or a recommendation to buy or sell any security.</t>
        </is>
      </c>
    </row>
    <row r="41" ht="20" customHeight="1">
      <c r="A41" s="3" t="inlineStr">
        <is>
          <t>MarketXLS Functions Used in This Sheet</t>
        </is>
      </c>
    </row>
    <row r="42">
      <c r="A42" s="22">
        <f>QM_Last("AAPL")</f>
        <v/>
      </c>
      <c r="D42" s="23" t="inlineStr">
        <is>
          <t>Last traded price of the underlying</t>
        </is>
      </c>
    </row>
    <row r="43">
      <c r="A43" s="22">
        <f>OptionSymbol("AAPL","2026-09-18","Call",300)</f>
        <v/>
      </c>
      <c r="D43" s="23" t="inlineStr">
        <is>
          <t>Builds the contract symbol every option function needs</t>
        </is>
      </c>
    </row>
    <row r="44">
      <c r="A44" s="22">
        <f>ExpirationNext("AAPL")</f>
        <v/>
      </c>
      <c r="D44" s="23" t="inlineStr">
        <is>
          <t>Next listed expiration date for the underlying</t>
        </is>
      </c>
    </row>
    <row r="45">
      <c r="A45" s="22">
        <f>earnings_date("AAPL")</f>
        <v/>
      </c>
      <c r="D45" s="23" t="inlineStr">
        <is>
          <t>Next earnings date, the main event risk inside an expiry</t>
        </is>
      </c>
    </row>
    <row r="47">
      <c r="A47" s="24" t="inlineStr">
        <is>
          <t>Powered by MarketXLS   |   https://marketxls.com   |   Book a demo: https://marketxls.com/book-demo</t>
        </is>
      </c>
    </row>
  </sheetData>
  <mergeCells count="31">
    <mergeCell ref="A41:F41"/>
    <mergeCell ref="C23:F23"/>
    <mergeCell ref="B31:F31"/>
    <mergeCell ref="A26:F26"/>
    <mergeCell ref="C19:F19"/>
    <mergeCell ref="B27:F27"/>
    <mergeCell ref="D43:F43"/>
    <mergeCell ref="A2:F2"/>
    <mergeCell ref="A42:C42"/>
    <mergeCell ref="A47:F47"/>
    <mergeCell ref="A17:F17"/>
    <mergeCell ref="A4:F4"/>
    <mergeCell ref="C24:F24"/>
    <mergeCell ref="A43:C43"/>
    <mergeCell ref="D42:F42"/>
    <mergeCell ref="A5:F7"/>
    <mergeCell ref="B29:F29"/>
    <mergeCell ref="A44:C44"/>
    <mergeCell ref="C20:F20"/>
    <mergeCell ref="B28:F28"/>
    <mergeCell ref="A9:F9"/>
    <mergeCell ref="A34:F34"/>
    <mergeCell ref="D44:F44"/>
    <mergeCell ref="A39:F39"/>
    <mergeCell ref="C22:F22"/>
    <mergeCell ref="B30:F30"/>
    <mergeCell ref="A45:C45"/>
    <mergeCell ref="A1:F1"/>
    <mergeCell ref="C21:F21"/>
    <mergeCell ref="D45:F45"/>
    <mergeCell ref="B32:F32"/>
  </mergeCells>
  <hyperlinks>
    <hyperlink xmlns:r="http://schemas.openxmlformats.org/officeDocument/2006/relationships" ref="C35" r:id="rId1"/>
    <hyperlink xmlns:r="http://schemas.openxmlformats.org/officeDocument/2006/relationships" ref="C36" r:id="rId2"/>
    <hyperlink xmlns:r="http://schemas.openxmlformats.org/officeDocument/2006/relationships" ref="C37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3" customWidth="1" min="4" max="4"/>
    <col width="13" customWidth="1" min="5" max="5"/>
    <col width="15" customWidth="1" min="6" max="6"/>
    <col width="16" customWidth="1" min="7" max="7"/>
    <col width="11" customWidth="1" min="8" max="8"/>
    <col width="13" customWidth="1" min="9" max="9"/>
    <col width="3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</cols>
  <sheetData>
    <row r="1" ht="26" customHeight="1">
      <c r="A1" s="1" t="inlineStr">
        <is>
          <t>PAYOFF CHART - AAPL OPTION POSITION</t>
        </is>
      </c>
    </row>
    <row r="2">
      <c r="A2" s="2" t="inlineStr">
        <is>
          <t>Data as of: 2026-08-15   |   Expiry: 2026-09-18   |   live MarketXLS formulas</t>
        </is>
      </c>
    </row>
    <row r="4" ht="20" customHeight="1">
      <c r="A4" s="3" t="inlineStr">
        <is>
          <t>Position Inputs (yellow cells are yours to change)</t>
        </is>
      </c>
    </row>
    <row r="5" ht="30" customHeight="1">
      <c r="A5" s="5" t="inlineStr">
        <is>
          <t>Ticker</t>
        </is>
      </c>
      <c r="B5" s="5" t="inlineStr">
        <is>
          <t>Expiry</t>
        </is>
      </c>
      <c r="C5" s="5" t="inlineStr">
        <is>
          <t>Spot Price</t>
        </is>
      </c>
      <c r="D5" s="5" t="inlineStr">
        <is>
          <t>Days To Expiry</t>
        </is>
      </c>
      <c r="E5" s="5" t="inlineStr">
        <is>
          <t>Risk Free Rate</t>
        </is>
      </c>
      <c r="F5" s="5" t="inlineStr">
        <is>
          <t>Dividend Yield</t>
        </is>
      </c>
      <c r="G5" s="5" t="inlineStr">
        <is>
          <t>Pre-Expiry Days</t>
        </is>
      </c>
      <c r="H5" s="5" t="inlineStr">
        <is>
          <t>Contract Size</t>
        </is>
      </c>
      <c r="I5" s="5" t="inlineStr">
        <is>
          <t>ATM Implied Vol</t>
        </is>
      </c>
    </row>
    <row r="6">
      <c r="A6" s="25" t="inlineStr">
        <is>
          <t>AAPL</t>
        </is>
      </c>
      <c r="B6" s="25" t="inlineStr">
        <is>
          <t>2026-09-18</t>
        </is>
      </c>
      <c r="C6" s="26">
        <f>QM_Last(A6)</f>
        <v/>
      </c>
      <c r="D6" s="27">
        <f>OPT_DaysToExpiration(OptionSymbol(A6,B6,"Call",B11))</f>
        <v/>
      </c>
      <c r="E6" s="28" t="n">
        <v>0.04</v>
      </c>
      <c r="F6" s="29">
        <f>DividendYield(A6)</f>
        <v/>
      </c>
      <c r="G6" s="25" t="n">
        <v>34</v>
      </c>
      <c r="H6" s="27" t="n">
        <v>100</v>
      </c>
      <c r="I6" s="30">
        <f>ImpliedVolatility30d(A6)</f>
        <v/>
      </c>
    </row>
    <row r="8" ht="20" customHeight="1">
      <c r="A8" s="3" t="inlineStr">
        <is>
          <t>Leg Builder (set Contracts to 0 to switch a leg off)</t>
        </is>
      </c>
    </row>
    <row r="9" ht="30" customHeight="1">
      <c r="A9" s="5" t="inlineStr">
        <is>
          <t>Leg</t>
        </is>
      </c>
      <c r="B9" s="5" t="inlineStr">
        <is>
          <t>Action</t>
        </is>
      </c>
      <c r="C9" s="5" t="inlineStr">
        <is>
          <t>Type</t>
        </is>
      </c>
      <c r="D9" s="5" t="inlineStr">
        <is>
          <t>Strike</t>
        </is>
      </c>
      <c r="E9" s="5" t="inlineStr">
        <is>
          <t>Premium</t>
        </is>
      </c>
      <c r="F9" s="5" t="inlineStr">
        <is>
          <t>Contracts</t>
        </is>
      </c>
      <c r="G9" s="5" t="inlineStr">
        <is>
          <t>Implied Vol</t>
        </is>
      </c>
      <c r="H9" s="5" t="inlineStr">
        <is>
          <t>Contract Symbol</t>
        </is>
      </c>
      <c r="I9" s="5" t="inlineStr">
        <is>
          <t>Net Cash</t>
        </is>
      </c>
    </row>
    <row r="10">
      <c r="A10" s="31" t="inlineStr">
        <is>
          <t>Leg 1</t>
        </is>
      </c>
      <c r="B10" s="25" t="inlineStr">
        <is>
          <t>Buy</t>
        </is>
      </c>
      <c r="C10" s="25" t="inlineStr">
        <is>
          <t>Call</t>
        </is>
      </c>
      <c r="D10" s="32" t="n">
        <v>300</v>
      </c>
      <c r="E10" s="32">
        <f>(Bid(H10)+Ask(H10))/2</f>
        <v/>
      </c>
      <c r="F10" s="25" t="n">
        <v>1</v>
      </c>
      <c r="G10" s="33">
        <f>opt_ImpliedVolatility($C$6,E10,$B$6,C10,D10,$E$6,$F$6)</f>
        <v/>
      </c>
      <c r="H10" s="34">
        <f>OptionSymbol($A$6,$B$6,C10,D10)</f>
        <v/>
      </c>
      <c r="I10" s="35">
        <f>IF(F10=0,0,IF(B10="Buy",-1,1)*E10*F10*$H$6)</f>
        <v/>
      </c>
    </row>
    <row r="11">
      <c r="A11" s="31" t="inlineStr">
        <is>
          <t>Leg 2</t>
        </is>
      </c>
      <c r="B11" s="25" t="inlineStr">
        <is>
          <t>Sell</t>
        </is>
      </c>
      <c r="C11" s="25" t="inlineStr">
        <is>
          <t>Call</t>
        </is>
      </c>
      <c r="D11" s="32" t="n">
        <v>320</v>
      </c>
      <c r="E11" s="32">
        <f>(Bid(H11)+Ask(H11))/2</f>
        <v/>
      </c>
      <c r="F11" s="25" t="n">
        <v>1</v>
      </c>
      <c r="G11" s="33">
        <f>opt_ImpliedVolatility($C$6,E11,$B$6,C11,D11,$E$6,$F$6)</f>
        <v/>
      </c>
      <c r="H11" s="34">
        <f>OptionSymbol($A$6,$B$6,C11,D11)</f>
        <v/>
      </c>
      <c r="I11" s="35">
        <f>IF(F11=0,0,IF(B11="Buy",-1,1)*E11*F11*$H$6)</f>
        <v/>
      </c>
    </row>
    <row r="12">
      <c r="A12" s="31" t="inlineStr">
        <is>
          <t>Leg 3</t>
        </is>
      </c>
      <c r="B12" s="25" t="inlineStr"/>
      <c r="C12" s="25" t="inlineStr"/>
      <c r="D12" s="32" t="n"/>
      <c r="E12" s="32" t="n"/>
      <c r="F12" s="25" t="n">
        <v>0</v>
      </c>
      <c r="G12" s="33" t="n"/>
      <c r="H12" s="34" t="n"/>
      <c r="I12" s="35">
        <f>IF(F12=0,0,IF(B12="Buy",-1,1)*E12*F12*$H$6)</f>
        <v/>
      </c>
    </row>
    <row r="13">
      <c r="A13" s="31" t="inlineStr">
        <is>
          <t>Leg 4</t>
        </is>
      </c>
      <c r="B13" s="25" t="inlineStr"/>
      <c r="C13" s="25" t="inlineStr"/>
      <c r="D13" s="32" t="n"/>
      <c r="E13" s="32" t="n"/>
      <c r="F13" s="25" t="n">
        <v>0</v>
      </c>
      <c r="G13" s="33" t="n"/>
      <c r="H13" s="34" t="n"/>
      <c r="I13" s="35">
        <f>IF(F13=0,0,IF(B13="Buy",-1,1)*E13*F13*$H$6)</f>
        <v/>
      </c>
    </row>
    <row r="14">
      <c r="A14" s="36" t="inlineStr">
        <is>
          <t>TOTAL</t>
        </is>
      </c>
      <c r="B14" s="14" t="n"/>
      <c r="C14" s="14" t="n"/>
      <c r="D14" s="14" t="n"/>
      <c r="E14" s="14" t="n"/>
      <c r="F14" s="14" t="n"/>
      <c r="G14" s="14" t="n"/>
      <c r="H14" s="7" t="inlineStr">
        <is>
          <t>Net cash flow at entry</t>
        </is>
      </c>
      <c r="I14" s="37">
        <f>SUM(I10:I13)</f>
        <v/>
      </c>
    </row>
    <row r="16" ht="20" customHeight="1">
      <c r="A16" s="3" t="inlineStr">
        <is>
          <t>Position Summary (all figures per position, not per share)</t>
        </is>
      </c>
    </row>
    <row r="17" ht="30" customHeight="1">
      <c r="A17" s="5" t="inlineStr">
        <is>
          <t>Metric</t>
        </is>
      </c>
      <c r="B17" s="5" t="inlineStr">
        <is>
          <t>Value</t>
        </is>
      </c>
      <c r="C17" s="5" t="inlineStr">
        <is>
          <t>Metric</t>
        </is>
      </c>
      <c r="D17" s="5" t="inlineStr">
        <is>
          <t>Value</t>
        </is>
      </c>
      <c r="E17" s="5" t="inlineStr">
        <is>
          <t>Metric</t>
        </is>
      </c>
      <c r="F17" s="5" t="inlineStr">
        <is>
          <t>Value</t>
        </is>
      </c>
      <c r="G17" s="5" t="inlineStr">
        <is>
          <t>Metric</t>
        </is>
      </c>
      <c r="H17" s="5" t="inlineStr">
        <is>
          <t>Value</t>
        </is>
      </c>
      <c r="I17" s="5" t="inlineStr">
        <is>
          <t>Note</t>
        </is>
      </c>
    </row>
    <row r="18">
      <c r="A18" s="38" t="inlineStr">
        <is>
          <t>Net debit paid</t>
        </is>
      </c>
      <c r="B18" s="39">
        <f>-I14</f>
        <v/>
      </c>
      <c r="C18" s="38" t="inlineStr">
        <is>
          <t>Max profit</t>
        </is>
      </c>
      <c r="D18" s="40">
        <f>MAX(F26:F66)</f>
        <v/>
      </c>
      <c r="E18" s="38" t="inlineStr">
        <is>
          <t>Max loss</t>
        </is>
      </c>
      <c r="F18" s="41">
        <f>MIN(F26:F66)</f>
        <v/>
      </c>
      <c r="G18" s="38" t="inlineStr">
        <is>
          <t>Reward to risk</t>
        </is>
      </c>
      <c r="H18" s="42">
        <f>IF(F18=0,0,ABS(D18/F18))</f>
        <v/>
      </c>
      <c r="I18" s="38" t="inlineStr">
        <is>
          <t>Across the grid range only</t>
        </is>
      </c>
    </row>
    <row r="19">
      <c r="A19" s="38" t="inlineStr">
        <is>
          <t>Breakeven (lower)</t>
        </is>
      </c>
      <c r="B19" s="43">
        <f>IFERROR(INDEX(A26:A66,MATCH(TRUE,INDEX(F26:F66&gt;=0,0),0)),"none")</f>
        <v/>
      </c>
      <c r="C19" s="38" t="inlineStr">
        <is>
          <t>Capital at risk</t>
        </is>
      </c>
      <c r="D19" s="39">
        <f>ABS(F18)</f>
        <v/>
      </c>
      <c r="E19" s="38" t="inlineStr">
        <is>
          <t>Return on risk at max</t>
        </is>
      </c>
      <c r="F19" s="44">
        <f>IF(D19=0,0,D18/D19)</f>
        <v/>
      </c>
      <c r="G19" s="38" t="inlineStr">
        <is>
          <t>Position delta ($/pt)</t>
        </is>
      </c>
      <c r="H19" s="43">
        <f>(F42-F41)/(A42-A41)</f>
        <v/>
      </c>
      <c r="I19" s="38" t="inlineStr">
        <is>
          <t>Slope of the expiry line at spot</t>
        </is>
      </c>
    </row>
    <row r="21" ht="20" customHeight="1">
      <c r="A21" s="3" t="inlineStr">
        <is>
          <t>Payoff Grid (this table is the chart)</t>
        </is>
      </c>
    </row>
    <row r="22" ht="30" customHeight="1">
      <c r="A22" s="5" t="inlineStr">
        <is>
          <t>Underlying</t>
        </is>
      </c>
      <c r="B22" s="5" t="inlineStr">
        <is>
          <t>Leg 1 P/L</t>
        </is>
      </c>
      <c r="C22" s="5" t="inlineStr">
        <is>
          <t>Leg 2 P/L</t>
        </is>
      </c>
      <c r="D22" s="5" t="inlineStr">
        <is>
          <t>Leg 3 P/L</t>
        </is>
      </c>
      <c r="E22" s="5" t="inlineStr">
        <is>
          <t>Leg 4 P/L</t>
        </is>
      </c>
      <c r="F22" s="5" t="inlineStr">
        <is>
          <t>Net At Expiry</t>
        </is>
      </c>
      <c r="G22" s="5" t="inlineStr">
        <is>
          <t>Net Pre-Expiry</t>
        </is>
      </c>
      <c r="H22" s="5" t="inlineStr">
        <is>
          <t>Zero Line</t>
        </is>
      </c>
      <c r="I22" s="5" t="inlineStr">
        <is>
          <t>Return On Risk</t>
        </is>
      </c>
    </row>
    <row r="23">
      <c r="A23" s="7" t="inlineStr">
        <is>
          <t>Grid low</t>
        </is>
      </c>
      <c r="B23" s="32" t="n">
        <v>270</v>
      </c>
      <c r="C23" s="7" t="inlineStr">
        <is>
          <t>Step</t>
        </is>
      </c>
      <c r="D23" s="32" t="n">
        <v>2</v>
      </c>
      <c r="E23" s="7" t="inlineStr">
        <is>
          <t>Points</t>
        </is>
      </c>
      <c r="F23" s="7" t="n">
        <v>41</v>
      </c>
      <c r="G23" s="7" t="n"/>
      <c r="H23" s="7" t="n"/>
      <c r="I23" s="7" t="n"/>
    </row>
    <row r="24">
      <c r="A24" s="45" t="inlineStr">
        <is>
          <t>(rows below build the diagram, one price per row)</t>
        </is>
      </c>
      <c r="K24" s="46" t="inlineStr">
        <is>
          <t>Pre-Expiry Black-Scholes Helper (drives column G)</t>
        </is>
      </c>
    </row>
    <row r="25">
      <c r="K25" s="47" t="inlineStr">
        <is>
          <t>Leg 1 value</t>
        </is>
      </c>
      <c r="L25" s="47" t="inlineStr">
        <is>
          <t>Leg 2 value</t>
        </is>
      </c>
      <c r="M25" s="47" t="inlineStr">
        <is>
          <t>Leg 3 value</t>
        </is>
      </c>
      <c r="N25" s="47" t="inlineStr">
        <is>
          <t>Net Pre-Expiry P/L</t>
        </is>
      </c>
    </row>
    <row r="26">
      <c r="A26" s="48">
        <f>$B$23</f>
        <v/>
      </c>
      <c r="B26" s="49">
        <f>IF($F$10=0,0,IF($B$10="Buy",1,-1)*(MAX(0,IF($C$10="Call",$A26-$D$10,$D$10-$A26))-$E$10)*$F$10*$H$6)</f>
        <v/>
      </c>
      <c r="C26" s="49">
        <f>IF($F$11=0,0,IF($B$11="Buy",1,-1)*(MAX(0,IF($C$11="Call",$A26-$D$11,$D$11-$A26))-$E$11)*$F$11*$H$6)</f>
        <v/>
      </c>
      <c r="D26" s="49">
        <f>IF($F$12=0,0,IF($B$12="Buy",1,-1)*(MAX(0,IF($C$12="Call",$A26-$D$12,$D$12-$A26))-$E$12)*$F$12*$H$6)</f>
        <v/>
      </c>
      <c r="E26" s="49">
        <f>IF($F$13=0,0,IF($B$13="Buy",1,-1)*(MAX(0,IF($C$13="Call",$A26-$D$13,$D$13-$A26))-$E$13)*$F$13*$H$6)</f>
        <v/>
      </c>
      <c r="F26" s="49">
        <f>SUM(B26:E26)</f>
        <v/>
      </c>
      <c r="G26" s="49">
        <f>N26</f>
        <v/>
      </c>
      <c r="H26" s="6" t="n">
        <v>0</v>
      </c>
      <c r="I26" s="50">
        <f>IF($D$19=0,0,F26/$D$19)</f>
        <v/>
      </c>
      <c r="K26" s="51">
        <f>IF($F$10=0,0,IF($B$10="Buy",1,-1)*$F$10*$H$6*IF($G$6&lt;=0,MAX(0,IF($C$10="Call",$A26-$D$10,$D$10-$A26)),IF($C$10="Call",$A26*EXP(-$F$6*($G$6/365))*NORMSDIST((LN($A26/$D$10)+($E$6-$F$6+$G$10^2/2)*($G$6/365))/($G$10*SQRT($G$6/365)))-$D$10*EXP(-$E$6*($G$6/365))*NORMSDIST((LN($A26/$D$10)+($E$6-$F$6+$G$10^2/2)*($G$6/365))/($G$10*SQRT($G$6/365))-$G$10*SQRT($G$6/365)),$D$10*EXP(-$E$6*($G$6/365))*NORMSDIST(-((LN($A26/$D$10)+($E$6-$F$6+$G$10^2/2)*($G$6/365))/($G$10*SQRT($G$6/365))-$G$10*SQRT($G$6/365)))-$A26*EXP(-$F$6*($G$6/365))*NORMSDIST(-((LN($A26/$D$10)+($E$6-$F$6+$G$10^2/2)*($G$6/365))/($G$10*SQRT($G$6/365)))))))</f>
        <v/>
      </c>
      <c r="L26" s="51">
        <f>IF($F$11=0,0,IF($B$11="Buy",1,-1)*$F$11*$H$6*IF($G$6&lt;=0,MAX(0,IF($C$11="Call",$A26-$D$11,$D$11-$A26)),IF($C$11="Call",$A26*EXP(-$F$6*($G$6/365))*NORMSDIST((LN($A26/$D$11)+($E$6-$F$6+$G$11^2/2)*($G$6/365))/($G$11*SQRT($G$6/365)))-$D$11*EXP(-$E$6*($G$6/365))*NORMSDIST((LN($A26/$D$11)+($E$6-$F$6+$G$11^2/2)*($G$6/365))/($G$11*SQRT($G$6/365))-$G$11*SQRT($G$6/365)),$D$11*EXP(-$E$6*($G$6/365))*NORMSDIST(-((LN($A26/$D$11)+($E$6-$F$6+$G$11^2/2)*($G$6/365))/($G$11*SQRT($G$6/365))-$G$11*SQRT($G$6/365)))-$A26*EXP(-$F$6*($G$6/365))*NORMSDIST(-((LN($A26/$D$11)+($E$6-$F$6+$G$11^2/2)*($G$6/365))/($G$11*SQRT($G$6/365)))))))</f>
        <v/>
      </c>
      <c r="M26" s="51">
        <f>IF($F$12=0,0,IF($B$12="Buy",1,-1)*$F$12*$H$6*IF($G$6&lt;=0,MAX(0,IF($C$12="Call",$A26-$D$12,$D$12-$A26)),IF($C$12="Call",$A26*EXP(-$F$6*($G$6/365))*NORMSDIST((LN($A26/$D$12)+($E$6-$F$6+$G$12^2/2)*($G$6/365))/($G$12*SQRT($G$6/365)))-$D$12*EXP(-$E$6*($G$6/365))*NORMSDIST((LN($A26/$D$12)+($E$6-$F$6+$G$12^2/2)*($G$6/365))/($G$12*SQRT($G$6/365))-$G$12*SQRT($G$6/365)),$D$12*EXP(-$E$6*($G$6/365))*NORMSDIST(-((LN($A26/$D$12)+($E$6-$F$6+$G$12^2/2)*($G$6/365))/($G$12*SQRT($G$6/365))-$G$12*SQRT($G$6/365)))-$A26*EXP(-$F$6*($G$6/365))*NORMSDIST(-((LN($A26/$D$12)+($E$6-$F$6+$G$12^2/2)*($G$6/365))/($G$12*SQRT($G$6/365)))))))</f>
        <v/>
      </c>
      <c r="N26" s="52">
        <f>K26+L26+M26+(IF($F$13=0,0,IF($B$13="Buy",1,-1)*$F$13*$H$6*IF($G$6&lt;=0,MAX(0,IF($C$13="Call",$A26-$D$13,$D$13-$A26)),IF($C$13="Call",$A26*EXP(-$F$6*($G$6/365))*NORMSDIST((LN($A26/$D$13)+($E$6-$F$6+$G$13^2/2)*($G$6/365))/($G$13*SQRT($G$6/365)))-$D$13*EXP(-$E$6*($G$6/365))*NORMSDIST((LN($A26/$D$13)+($E$6-$F$6+$G$13^2/2)*($G$6/365))/($G$13*SQRT($G$6/365))-$G$13*SQRT($G$6/365)),$D$13*EXP(-$E$6*($G$6/365))*NORMSDIST(-((LN($A26/$D$13)+($E$6-$F$6+$G$13^2/2)*($G$6/365))/($G$13*SQRT($G$6/365))-$G$13*SQRT($G$6/365)))-$A26*EXP(-$F$6*($G$6/365))*NORMSDIST(-((LN($A26/$D$13)+($E$6-$F$6+$G$13^2/2)*($G$6/365))/($G$13*SQRT($G$6/365))))))))+$I$14</f>
        <v/>
      </c>
    </row>
    <row r="27">
      <c r="A27" s="53">
        <f>A26+$D$23</f>
        <v/>
      </c>
      <c r="B27" s="54">
        <f>IF($F$10=0,0,IF($B$10="Buy",1,-1)*(MAX(0,IF($C$10="Call",$A27-$D$10,$D$10-$A27))-$E$10)*$F$10*$H$6)</f>
        <v/>
      </c>
      <c r="C27" s="54">
        <f>IF($F$11=0,0,IF($B$11="Buy",1,-1)*(MAX(0,IF($C$11="Call",$A27-$D$11,$D$11-$A27))-$E$11)*$F$11*$H$6)</f>
        <v/>
      </c>
      <c r="D27" s="54">
        <f>IF($F$12=0,0,IF($B$12="Buy",1,-1)*(MAX(0,IF($C$12="Call",$A27-$D$12,$D$12-$A27))-$E$12)*$F$12*$H$6)</f>
        <v/>
      </c>
      <c r="E27" s="54">
        <f>IF($F$13=0,0,IF($B$13="Buy",1,-1)*(MAX(0,IF($C$13="Call",$A27-$D$13,$D$13-$A27))-$E$13)*$F$13*$H$6)</f>
        <v/>
      </c>
      <c r="F27" s="54">
        <f>SUM(B27:E27)</f>
        <v/>
      </c>
      <c r="G27" s="54">
        <f>N27</f>
        <v/>
      </c>
      <c r="H27" s="9" t="n">
        <v>0</v>
      </c>
      <c r="I27" s="55">
        <f>IF($D$19=0,0,F27/$D$19)</f>
        <v/>
      </c>
      <c r="K27" s="51">
        <f>IF($F$10=0,0,IF($B$10="Buy",1,-1)*$F$10*$H$6*IF($G$6&lt;=0,MAX(0,IF($C$10="Call",$A27-$D$10,$D$10-$A27)),IF($C$10="Call",$A27*EXP(-$F$6*($G$6/365))*NORMSDIST((LN($A27/$D$10)+($E$6-$F$6+$G$10^2/2)*($G$6/365))/($G$10*SQRT($G$6/365)))-$D$10*EXP(-$E$6*($G$6/365))*NORMSDIST((LN($A27/$D$10)+($E$6-$F$6+$G$10^2/2)*($G$6/365))/($G$10*SQRT($G$6/365))-$G$10*SQRT($G$6/365)),$D$10*EXP(-$E$6*($G$6/365))*NORMSDIST(-((LN($A27/$D$10)+($E$6-$F$6+$G$10^2/2)*($G$6/365))/($G$10*SQRT($G$6/365))-$G$10*SQRT($G$6/365)))-$A27*EXP(-$F$6*($G$6/365))*NORMSDIST(-((LN($A27/$D$10)+($E$6-$F$6+$G$10^2/2)*($G$6/365))/($G$10*SQRT($G$6/365)))))))</f>
        <v/>
      </c>
      <c r="L27" s="51">
        <f>IF($F$11=0,0,IF($B$11="Buy",1,-1)*$F$11*$H$6*IF($G$6&lt;=0,MAX(0,IF($C$11="Call",$A27-$D$11,$D$11-$A27)),IF($C$11="Call",$A27*EXP(-$F$6*($G$6/365))*NORMSDIST((LN($A27/$D$11)+($E$6-$F$6+$G$11^2/2)*($G$6/365))/($G$11*SQRT($G$6/365)))-$D$11*EXP(-$E$6*($G$6/365))*NORMSDIST((LN($A27/$D$11)+($E$6-$F$6+$G$11^2/2)*($G$6/365))/($G$11*SQRT($G$6/365))-$G$11*SQRT($G$6/365)),$D$11*EXP(-$E$6*($G$6/365))*NORMSDIST(-((LN($A27/$D$11)+($E$6-$F$6+$G$11^2/2)*($G$6/365))/($G$11*SQRT($G$6/365))-$G$11*SQRT($G$6/365)))-$A27*EXP(-$F$6*($G$6/365))*NORMSDIST(-((LN($A27/$D$11)+($E$6-$F$6+$G$11^2/2)*($G$6/365))/($G$11*SQRT($G$6/365)))))))</f>
        <v/>
      </c>
      <c r="M27" s="51">
        <f>IF($F$12=0,0,IF($B$12="Buy",1,-1)*$F$12*$H$6*IF($G$6&lt;=0,MAX(0,IF($C$12="Call",$A27-$D$12,$D$12-$A27)),IF($C$12="Call",$A27*EXP(-$F$6*($G$6/365))*NORMSDIST((LN($A27/$D$12)+($E$6-$F$6+$G$12^2/2)*($G$6/365))/($G$12*SQRT($G$6/365)))-$D$12*EXP(-$E$6*($G$6/365))*NORMSDIST((LN($A27/$D$12)+($E$6-$F$6+$G$12^2/2)*($G$6/365))/($G$12*SQRT($G$6/365))-$G$12*SQRT($G$6/365)),$D$12*EXP(-$E$6*($G$6/365))*NORMSDIST(-((LN($A27/$D$12)+($E$6-$F$6+$G$12^2/2)*($G$6/365))/($G$12*SQRT($G$6/365))-$G$12*SQRT($G$6/365)))-$A27*EXP(-$F$6*($G$6/365))*NORMSDIST(-((LN($A27/$D$12)+($E$6-$F$6+$G$12^2/2)*($G$6/365))/($G$12*SQRT($G$6/365)))))))</f>
        <v/>
      </c>
      <c r="N27" s="52">
        <f>K27+L27+M27+(IF($F$13=0,0,IF($B$13="Buy",1,-1)*$F$13*$H$6*IF($G$6&lt;=0,MAX(0,IF($C$13="Call",$A27-$D$13,$D$13-$A27)),IF($C$13="Call",$A27*EXP(-$F$6*($G$6/365))*NORMSDIST((LN($A27/$D$13)+($E$6-$F$6+$G$13^2/2)*($G$6/365))/($G$13*SQRT($G$6/365)))-$D$13*EXP(-$E$6*($G$6/365))*NORMSDIST((LN($A27/$D$13)+($E$6-$F$6+$G$13^2/2)*($G$6/365))/($G$13*SQRT($G$6/365))-$G$13*SQRT($G$6/365)),$D$13*EXP(-$E$6*($G$6/365))*NORMSDIST(-((LN($A27/$D$13)+($E$6-$F$6+$G$13^2/2)*($G$6/365))/($G$13*SQRT($G$6/365))-$G$13*SQRT($G$6/365)))-$A27*EXP(-$F$6*($G$6/365))*NORMSDIST(-((LN($A27/$D$13)+($E$6-$F$6+$G$13^2/2)*($G$6/365))/($G$13*SQRT($G$6/365))))))))+$I$14</f>
        <v/>
      </c>
    </row>
    <row r="28">
      <c r="A28" s="48">
        <f>A27+$D$23</f>
        <v/>
      </c>
      <c r="B28" s="49">
        <f>IF($F$10=0,0,IF($B$10="Buy",1,-1)*(MAX(0,IF($C$10="Call",$A28-$D$10,$D$10-$A28))-$E$10)*$F$10*$H$6)</f>
        <v/>
      </c>
      <c r="C28" s="49">
        <f>IF($F$11=0,0,IF($B$11="Buy",1,-1)*(MAX(0,IF($C$11="Call",$A28-$D$11,$D$11-$A28))-$E$11)*$F$11*$H$6)</f>
        <v/>
      </c>
      <c r="D28" s="49">
        <f>IF($F$12=0,0,IF($B$12="Buy",1,-1)*(MAX(0,IF($C$12="Call",$A28-$D$12,$D$12-$A28))-$E$12)*$F$12*$H$6)</f>
        <v/>
      </c>
      <c r="E28" s="49">
        <f>IF($F$13=0,0,IF($B$13="Buy",1,-1)*(MAX(0,IF($C$13="Call",$A28-$D$13,$D$13-$A28))-$E$13)*$F$13*$H$6)</f>
        <v/>
      </c>
      <c r="F28" s="49">
        <f>SUM(B28:E28)</f>
        <v/>
      </c>
      <c r="G28" s="49">
        <f>N28</f>
        <v/>
      </c>
      <c r="H28" s="6" t="n">
        <v>0</v>
      </c>
      <c r="I28" s="50">
        <f>IF($D$19=0,0,F28/$D$19)</f>
        <v/>
      </c>
      <c r="K28" s="51">
        <f>IF($F$10=0,0,IF($B$10="Buy",1,-1)*$F$10*$H$6*IF($G$6&lt;=0,MAX(0,IF($C$10="Call",$A28-$D$10,$D$10-$A28)),IF($C$10="Call",$A28*EXP(-$F$6*($G$6/365))*NORMSDIST((LN($A28/$D$10)+($E$6-$F$6+$G$10^2/2)*($G$6/365))/($G$10*SQRT($G$6/365)))-$D$10*EXP(-$E$6*($G$6/365))*NORMSDIST((LN($A28/$D$10)+($E$6-$F$6+$G$10^2/2)*($G$6/365))/($G$10*SQRT($G$6/365))-$G$10*SQRT($G$6/365)),$D$10*EXP(-$E$6*($G$6/365))*NORMSDIST(-((LN($A28/$D$10)+($E$6-$F$6+$G$10^2/2)*($G$6/365))/($G$10*SQRT($G$6/365))-$G$10*SQRT($G$6/365)))-$A28*EXP(-$F$6*($G$6/365))*NORMSDIST(-((LN($A28/$D$10)+($E$6-$F$6+$G$10^2/2)*($G$6/365))/($G$10*SQRT($G$6/365)))))))</f>
        <v/>
      </c>
      <c r="L28" s="51">
        <f>IF($F$11=0,0,IF($B$11="Buy",1,-1)*$F$11*$H$6*IF($G$6&lt;=0,MAX(0,IF($C$11="Call",$A28-$D$11,$D$11-$A28)),IF($C$11="Call",$A28*EXP(-$F$6*($G$6/365))*NORMSDIST((LN($A28/$D$11)+($E$6-$F$6+$G$11^2/2)*($G$6/365))/($G$11*SQRT($G$6/365)))-$D$11*EXP(-$E$6*($G$6/365))*NORMSDIST((LN($A28/$D$11)+($E$6-$F$6+$G$11^2/2)*($G$6/365))/($G$11*SQRT($G$6/365))-$G$11*SQRT($G$6/365)),$D$11*EXP(-$E$6*($G$6/365))*NORMSDIST(-((LN($A28/$D$11)+($E$6-$F$6+$G$11^2/2)*($G$6/365))/($G$11*SQRT($G$6/365))-$G$11*SQRT($G$6/365)))-$A28*EXP(-$F$6*($G$6/365))*NORMSDIST(-((LN($A28/$D$11)+($E$6-$F$6+$G$11^2/2)*($G$6/365))/($G$11*SQRT($G$6/365)))))))</f>
        <v/>
      </c>
      <c r="M28" s="51">
        <f>IF($F$12=0,0,IF($B$12="Buy",1,-1)*$F$12*$H$6*IF($G$6&lt;=0,MAX(0,IF($C$12="Call",$A28-$D$12,$D$12-$A28)),IF($C$12="Call",$A28*EXP(-$F$6*($G$6/365))*NORMSDIST((LN($A28/$D$12)+($E$6-$F$6+$G$12^2/2)*($G$6/365))/($G$12*SQRT($G$6/365)))-$D$12*EXP(-$E$6*($G$6/365))*NORMSDIST((LN($A28/$D$12)+($E$6-$F$6+$G$12^2/2)*($G$6/365))/($G$12*SQRT($G$6/365))-$G$12*SQRT($G$6/365)),$D$12*EXP(-$E$6*($G$6/365))*NORMSDIST(-((LN($A28/$D$12)+($E$6-$F$6+$G$12^2/2)*($G$6/365))/($G$12*SQRT($G$6/365))-$G$12*SQRT($G$6/365)))-$A28*EXP(-$F$6*($G$6/365))*NORMSDIST(-((LN($A28/$D$12)+($E$6-$F$6+$G$12^2/2)*($G$6/365))/($G$12*SQRT($G$6/365)))))))</f>
        <v/>
      </c>
      <c r="N28" s="52">
        <f>K28+L28+M28+(IF($F$13=0,0,IF($B$13="Buy",1,-1)*$F$13*$H$6*IF($G$6&lt;=0,MAX(0,IF($C$13="Call",$A28-$D$13,$D$13-$A28)),IF($C$13="Call",$A28*EXP(-$F$6*($G$6/365))*NORMSDIST((LN($A28/$D$13)+($E$6-$F$6+$G$13^2/2)*($G$6/365))/($G$13*SQRT($G$6/365)))-$D$13*EXP(-$E$6*($G$6/365))*NORMSDIST((LN($A28/$D$13)+($E$6-$F$6+$G$13^2/2)*($G$6/365))/($G$13*SQRT($G$6/365))-$G$13*SQRT($G$6/365)),$D$13*EXP(-$E$6*($G$6/365))*NORMSDIST(-((LN($A28/$D$13)+($E$6-$F$6+$G$13^2/2)*($G$6/365))/($G$13*SQRT($G$6/365))-$G$13*SQRT($G$6/365)))-$A28*EXP(-$F$6*($G$6/365))*NORMSDIST(-((LN($A28/$D$13)+($E$6-$F$6+$G$13^2/2)*($G$6/365))/($G$13*SQRT($G$6/365))))))))+$I$14</f>
        <v/>
      </c>
    </row>
    <row r="29">
      <c r="A29" s="53">
        <f>A28+$D$23</f>
        <v/>
      </c>
      <c r="B29" s="54">
        <f>IF($F$10=0,0,IF($B$10="Buy",1,-1)*(MAX(0,IF($C$10="Call",$A29-$D$10,$D$10-$A29))-$E$10)*$F$10*$H$6)</f>
        <v/>
      </c>
      <c r="C29" s="54">
        <f>IF($F$11=0,0,IF($B$11="Buy",1,-1)*(MAX(0,IF($C$11="Call",$A29-$D$11,$D$11-$A29))-$E$11)*$F$11*$H$6)</f>
        <v/>
      </c>
      <c r="D29" s="54">
        <f>IF($F$12=0,0,IF($B$12="Buy",1,-1)*(MAX(0,IF($C$12="Call",$A29-$D$12,$D$12-$A29))-$E$12)*$F$12*$H$6)</f>
        <v/>
      </c>
      <c r="E29" s="54">
        <f>IF($F$13=0,0,IF($B$13="Buy",1,-1)*(MAX(0,IF($C$13="Call",$A29-$D$13,$D$13-$A29))-$E$13)*$F$13*$H$6)</f>
        <v/>
      </c>
      <c r="F29" s="54">
        <f>SUM(B29:E29)</f>
        <v/>
      </c>
      <c r="G29" s="54">
        <f>N29</f>
        <v/>
      </c>
      <c r="H29" s="9" t="n">
        <v>0</v>
      </c>
      <c r="I29" s="55">
        <f>IF($D$19=0,0,F29/$D$19)</f>
        <v/>
      </c>
      <c r="K29" s="51">
        <f>IF($F$10=0,0,IF($B$10="Buy",1,-1)*$F$10*$H$6*IF($G$6&lt;=0,MAX(0,IF($C$10="Call",$A29-$D$10,$D$10-$A29)),IF($C$10="Call",$A29*EXP(-$F$6*($G$6/365))*NORMSDIST((LN($A29/$D$10)+($E$6-$F$6+$G$10^2/2)*($G$6/365))/($G$10*SQRT($G$6/365)))-$D$10*EXP(-$E$6*($G$6/365))*NORMSDIST((LN($A29/$D$10)+($E$6-$F$6+$G$10^2/2)*($G$6/365))/($G$10*SQRT($G$6/365))-$G$10*SQRT($G$6/365)),$D$10*EXP(-$E$6*($G$6/365))*NORMSDIST(-((LN($A29/$D$10)+($E$6-$F$6+$G$10^2/2)*($G$6/365))/($G$10*SQRT($G$6/365))-$G$10*SQRT($G$6/365)))-$A29*EXP(-$F$6*($G$6/365))*NORMSDIST(-((LN($A29/$D$10)+($E$6-$F$6+$G$10^2/2)*($G$6/365))/($G$10*SQRT($G$6/365)))))))</f>
        <v/>
      </c>
      <c r="L29" s="51">
        <f>IF($F$11=0,0,IF($B$11="Buy",1,-1)*$F$11*$H$6*IF($G$6&lt;=0,MAX(0,IF($C$11="Call",$A29-$D$11,$D$11-$A29)),IF($C$11="Call",$A29*EXP(-$F$6*($G$6/365))*NORMSDIST((LN($A29/$D$11)+($E$6-$F$6+$G$11^2/2)*($G$6/365))/($G$11*SQRT($G$6/365)))-$D$11*EXP(-$E$6*($G$6/365))*NORMSDIST((LN($A29/$D$11)+($E$6-$F$6+$G$11^2/2)*($G$6/365))/($G$11*SQRT($G$6/365))-$G$11*SQRT($G$6/365)),$D$11*EXP(-$E$6*($G$6/365))*NORMSDIST(-((LN($A29/$D$11)+($E$6-$F$6+$G$11^2/2)*($G$6/365))/($G$11*SQRT($G$6/365))-$G$11*SQRT($G$6/365)))-$A29*EXP(-$F$6*($G$6/365))*NORMSDIST(-((LN($A29/$D$11)+($E$6-$F$6+$G$11^2/2)*($G$6/365))/($G$11*SQRT($G$6/365)))))))</f>
        <v/>
      </c>
      <c r="M29" s="51">
        <f>IF($F$12=0,0,IF($B$12="Buy",1,-1)*$F$12*$H$6*IF($G$6&lt;=0,MAX(0,IF($C$12="Call",$A29-$D$12,$D$12-$A29)),IF($C$12="Call",$A29*EXP(-$F$6*($G$6/365))*NORMSDIST((LN($A29/$D$12)+($E$6-$F$6+$G$12^2/2)*($G$6/365))/($G$12*SQRT($G$6/365)))-$D$12*EXP(-$E$6*($G$6/365))*NORMSDIST((LN($A29/$D$12)+($E$6-$F$6+$G$12^2/2)*($G$6/365))/($G$12*SQRT($G$6/365))-$G$12*SQRT($G$6/365)),$D$12*EXP(-$E$6*($G$6/365))*NORMSDIST(-((LN($A29/$D$12)+($E$6-$F$6+$G$12^2/2)*($G$6/365))/($G$12*SQRT($G$6/365))-$G$12*SQRT($G$6/365)))-$A29*EXP(-$F$6*($G$6/365))*NORMSDIST(-((LN($A29/$D$12)+($E$6-$F$6+$G$12^2/2)*($G$6/365))/($G$12*SQRT($G$6/365)))))))</f>
        <v/>
      </c>
      <c r="N29" s="52">
        <f>K29+L29+M29+(IF($F$13=0,0,IF($B$13="Buy",1,-1)*$F$13*$H$6*IF($G$6&lt;=0,MAX(0,IF($C$13="Call",$A29-$D$13,$D$13-$A29)),IF($C$13="Call",$A29*EXP(-$F$6*($G$6/365))*NORMSDIST((LN($A29/$D$13)+($E$6-$F$6+$G$13^2/2)*($G$6/365))/($G$13*SQRT($G$6/365)))-$D$13*EXP(-$E$6*($G$6/365))*NORMSDIST((LN($A29/$D$13)+($E$6-$F$6+$G$13^2/2)*($G$6/365))/($G$13*SQRT($G$6/365))-$G$13*SQRT($G$6/365)),$D$13*EXP(-$E$6*($G$6/365))*NORMSDIST(-((LN($A29/$D$13)+($E$6-$F$6+$G$13^2/2)*($G$6/365))/($G$13*SQRT($G$6/365))-$G$13*SQRT($G$6/365)))-$A29*EXP(-$F$6*($G$6/365))*NORMSDIST(-((LN($A29/$D$13)+($E$6-$F$6+$G$13^2/2)*($G$6/365))/($G$13*SQRT($G$6/365))))))))+$I$14</f>
        <v/>
      </c>
    </row>
    <row r="30">
      <c r="A30" s="48">
        <f>A29+$D$23</f>
        <v/>
      </c>
      <c r="B30" s="49">
        <f>IF($F$10=0,0,IF($B$10="Buy",1,-1)*(MAX(0,IF($C$10="Call",$A30-$D$10,$D$10-$A30))-$E$10)*$F$10*$H$6)</f>
        <v/>
      </c>
      <c r="C30" s="49">
        <f>IF($F$11=0,0,IF($B$11="Buy",1,-1)*(MAX(0,IF($C$11="Call",$A30-$D$11,$D$11-$A30))-$E$11)*$F$11*$H$6)</f>
        <v/>
      </c>
      <c r="D30" s="49">
        <f>IF($F$12=0,0,IF($B$12="Buy",1,-1)*(MAX(0,IF($C$12="Call",$A30-$D$12,$D$12-$A30))-$E$12)*$F$12*$H$6)</f>
        <v/>
      </c>
      <c r="E30" s="49">
        <f>IF($F$13=0,0,IF($B$13="Buy",1,-1)*(MAX(0,IF($C$13="Call",$A30-$D$13,$D$13-$A30))-$E$13)*$F$13*$H$6)</f>
        <v/>
      </c>
      <c r="F30" s="49">
        <f>SUM(B30:E30)</f>
        <v/>
      </c>
      <c r="G30" s="49">
        <f>N30</f>
        <v/>
      </c>
      <c r="H30" s="6" t="n">
        <v>0</v>
      </c>
      <c r="I30" s="50">
        <f>IF($D$19=0,0,F30/$D$19)</f>
        <v/>
      </c>
      <c r="K30" s="51">
        <f>IF($F$10=0,0,IF($B$10="Buy",1,-1)*$F$10*$H$6*IF($G$6&lt;=0,MAX(0,IF($C$10="Call",$A30-$D$10,$D$10-$A30)),IF($C$10="Call",$A30*EXP(-$F$6*($G$6/365))*NORMSDIST((LN($A30/$D$10)+($E$6-$F$6+$G$10^2/2)*($G$6/365))/($G$10*SQRT($G$6/365)))-$D$10*EXP(-$E$6*($G$6/365))*NORMSDIST((LN($A30/$D$10)+($E$6-$F$6+$G$10^2/2)*($G$6/365))/($G$10*SQRT($G$6/365))-$G$10*SQRT($G$6/365)),$D$10*EXP(-$E$6*($G$6/365))*NORMSDIST(-((LN($A30/$D$10)+($E$6-$F$6+$G$10^2/2)*($G$6/365))/($G$10*SQRT($G$6/365))-$G$10*SQRT($G$6/365)))-$A30*EXP(-$F$6*($G$6/365))*NORMSDIST(-((LN($A30/$D$10)+($E$6-$F$6+$G$10^2/2)*($G$6/365))/($G$10*SQRT($G$6/365)))))))</f>
        <v/>
      </c>
      <c r="L30" s="51">
        <f>IF($F$11=0,0,IF($B$11="Buy",1,-1)*$F$11*$H$6*IF($G$6&lt;=0,MAX(0,IF($C$11="Call",$A30-$D$11,$D$11-$A30)),IF($C$11="Call",$A30*EXP(-$F$6*($G$6/365))*NORMSDIST((LN($A30/$D$11)+($E$6-$F$6+$G$11^2/2)*($G$6/365))/($G$11*SQRT($G$6/365)))-$D$11*EXP(-$E$6*($G$6/365))*NORMSDIST((LN($A30/$D$11)+($E$6-$F$6+$G$11^2/2)*($G$6/365))/($G$11*SQRT($G$6/365))-$G$11*SQRT($G$6/365)),$D$11*EXP(-$E$6*($G$6/365))*NORMSDIST(-((LN($A30/$D$11)+($E$6-$F$6+$G$11^2/2)*($G$6/365))/($G$11*SQRT($G$6/365))-$G$11*SQRT($G$6/365)))-$A30*EXP(-$F$6*($G$6/365))*NORMSDIST(-((LN($A30/$D$11)+($E$6-$F$6+$G$11^2/2)*($G$6/365))/($G$11*SQRT($G$6/365)))))))</f>
        <v/>
      </c>
      <c r="M30" s="51">
        <f>IF($F$12=0,0,IF($B$12="Buy",1,-1)*$F$12*$H$6*IF($G$6&lt;=0,MAX(0,IF($C$12="Call",$A30-$D$12,$D$12-$A30)),IF($C$12="Call",$A30*EXP(-$F$6*($G$6/365))*NORMSDIST((LN($A30/$D$12)+($E$6-$F$6+$G$12^2/2)*($G$6/365))/($G$12*SQRT($G$6/365)))-$D$12*EXP(-$E$6*($G$6/365))*NORMSDIST((LN($A30/$D$12)+($E$6-$F$6+$G$12^2/2)*($G$6/365))/($G$12*SQRT($G$6/365))-$G$12*SQRT($G$6/365)),$D$12*EXP(-$E$6*($G$6/365))*NORMSDIST(-((LN($A30/$D$12)+($E$6-$F$6+$G$12^2/2)*($G$6/365))/($G$12*SQRT($G$6/365))-$G$12*SQRT($G$6/365)))-$A30*EXP(-$F$6*($G$6/365))*NORMSDIST(-((LN($A30/$D$12)+($E$6-$F$6+$G$12^2/2)*($G$6/365))/($G$12*SQRT($G$6/365)))))))</f>
        <v/>
      </c>
      <c r="N30" s="52">
        <f>K30+L30+M30+(IF($F$13=0,0,IF($B$13="Buy",1,-1)*$F$13*$H$6*IF($G$6&lt;=0,MAX(0,IF($C$13="Call",$A30-$D$13,$D$13-$A30)),IF($C$13="Call",$A30*EXP(-$F$6*($G$6/365))*NORMSDIST((LN($A30/$D$13)+($E$6-$F$6+$G$13^2/2)*($G$6/365))/($G$13*SQRT($G$6/365)))-$D$13*EXP(-$E$6*($G$6/365))*NORMSDIST((LN($A30/$D$13)+($E$6-$F$6+$G$13^2/2)*($G$6/365))/($G$13*SQRT($G$6/365))-$G$13*SQRT($G$6/365)),$D$13*EXP(-$E$6*($G$6/365))*NORMSDIST(-((LN($A30/$D$13)+($E$6-$F$6+$G$13^2/2)*($G$6/365))/($G$13*SQRT($G$6/365))-$G$13*SQRT($G$6/365)))-$A30*EXP(-$F$6*($G$6/365))*NORMSDIST(-((LN($A30/$D$13)+($E$6-$F$6+$G$13^2/2)*($G$6/365))/($G$13*SQRT($G$6/365))))))))+$I$14</f>
        <v/>
      </c>
    </row>
    <row r="31">
      <c r="A31" s="53">
        <f>A30+$D$23</f>
        <v/>
      </c>
      <c r="B31" s="54">
        <f>IF($F$10=0,0,IF($B$10="Buy",1,-1)*(MAX(0,IF($C$10="Call",$A31-$D$10,$D$10-$A31))-$E$10)*$F$10*$H$6)</f>
        <v/>
      </c>
      <c r="C31" s="54">
        <f>IF($F$11=0,0,IF($B$11="Buy",1,-1)*(MAX(0,IF($C$11="Call",$A31-$D$11,$D$11-$A31))-$E$11)*$F$11*$H$6)</f>
        <v/>
      </c>
      <c r="D31" s="54">
        <f>IF($F$12=0,0,IF($B$12="Buy",1,-1)*(MAX(0,IF($C$12="Call",$A31-$D$12,$D$12-$A31))-$E$12)*$F$12*$H$6)</f>
        <v/>
      </c>
      <c r="E31" s="54">
        <f>IF($F$13=0,0,IF($B$13="Buy",1,-1)*(MAX(0,IF($C$13="Call",$A31-$D$13,$D$13-$A31))-$E$13)*$F$13*$H$6)</f>
        <v/>
      </c>
      <c r="F31" s="54">
        <f>SUM(B31:E31)</f>
        <v/>
      </c>
      <c r="G31" s="54">
        <f>N31</f>
        <v/>
      </c>
      <c r="H31" s="9" t="n">
        <v>0</v>
      </c>
      <c r="I31" s="55">
        <f>IF($D$19=0,0,F31/$D$19)</f>
        <v/>
      </c>
      <c r="K31" s="51">
        <f>IF($F$10=0,0,IF($B$10="Buy",1,-1)*$F$10*$H$6*IF($G$6&lt;=0,MAX(0,IF($C$10="Call",$A31-$D$10,$D$10-$A31)),IF($C$10="Call",$A31*EXP(-$F$6*($G$6/365))*NORMSDIST((LN($A31/$D$10)+($E$6-$F$6+$G$10^2/2)*($G$6/365))/($G$10*SQRT($G$6/365)))-$D$10*EXP(-$E$6*($G$6/365))*NORMSDIST((LN($A31/$D$10)+($E$6-$F$6+$G$10^2/2)*($G$6/365))/($G$10*SQRT($G$6/365))-$G$10*SQRT($G$6/365)),$D$10*EXP(-$E$6*($G$6/365))*NORMSDIST(-((LN($A31/$D$10)+($E$6-$F$6+$G$10^2/2)*($G$6/365))/($G$10*SQRT($G$6/365))-$G$10*SQRT($G$6/365)))-$A31*EXP(-$F$6*($G$6/365))*NORMSDIST(-((LN($A31/$D$10)+($E$6-$F$6+$G$10^2/2)*($G$6/365))/($G$10*SQRT($G$6/365)))))))</f>
        <v/>
      </c>
      <c r="L31" s="51">
        <f>IF($F$11=0,0,IF($B$11="Buy",1,-1)*$F$11*$H$6*IF($G$6&lt;=0,MAX(0,IF($C$11="Call",$A31-$D$11,$D$11-$A31)),IF($C$11="Call",$A31*EXP(-$F$6*($G$6/365))*NORMSDIST((LN($A31/$D$11)+($E$6-$F$6+$G$11^2/2)*($G$6/365))/($G$11*SQRT($G$6/365)))-$D$11*EXP(-$E$6*($G$6/365))*NORMSDIST((LN($A31/$D$11)+($E$6-$F$6+$G$11^2/2)*($G$6/365))/($G$11*SQRT($G$6/365))-$G$11*SQRT($G$6/365)),$D$11*EXP(-$E$6*($G$6/365))*NORMSDIST(-((LN($A31/$D$11)+($E$6-$F$6+$G$11^2/2)*($G$6/365))/($G$11*SQRT($G$6/365))-$G$11*SQRT($G$6/365)))-$A31*EXP(-$F$6*($G$6/365))*NORMSDIST(-((LN($A31/$D$11)+($E$6-$F$6+$G$11^2/2)*($G$6/365))/($G$11*SQRT($G$6/365)))))))</f>
        <v/>
      </c>
      <c r="M31" s="51">
        <f>IF($F$12=0,0,IF($B$12="Buy",1,-1)*$F$12*$H$6*IF($G$6&lt;=0,MAX(0,IF($C$12="Call",$A31-$D$12,$D$12-$A31)),IF($C$12="Call",$A31*EXP(-$F$6*($G$6/365))*NORMSDIST((LN($A31/$D$12)+($E$6-$F$6+$G$12^2/2)*($G$6/365))/($G$12*SQRT($G$6/365)))-$D$12*EXP(-$E$6*($G$6/365))*NORMSDIST((LN($A31/$D$12)+($E$6-$F$6+$G$12^2/2)*($G$6/365))/($G$12*SQRT($G$6/365))-$G$12*SQRT($G$6/365)),$D$12*EXP(-$E$6*($G$6/365))*NORMSDIST(-((LN($A31/$D$12)+($E$6-$F$6+$G$12^2/2)*($G$6/365))/($G$12*SQRT($G$6/365))-$G$12*SQRT($G$6/365)))-$A31*EXP(-$F$6*($G$6/365))*NORMSDIST(-((LN($A31/$D$12)+($E$6-$F$6+$G$12^2/2)*($G$6/365))/($G$12*SQRT($G$6/365)))))))</f>
        <v/>
      </c>
      <c r="N31" s="52">
        <f>K31+L31+M31+(IF($F$13=0,0,IF($B$13="Buy",1,-1)*$F$13*$H$6*IF($G$6&lt;=0,MAX(0,IF($C$13="Call",$A31-$D$13,$D$13-$A31)),IF($C$13="Call",$A31*EXP(-$F$6*($G$6/365))*NORMSDIST((LN($A31/$D$13)+($E$6-$F$6+$G$13^2/2)*($G$6/365))/($G$13*SQRT($G$6/365)))-$D$13*EXP(-$E$6*($G$6/365))*NORMSDIST((LN($A31/$D$13)+($E$6-$F$6+$G$13^2/2)*($G$6/365))/($G$13*SQRT($G$6/365))-$G$13*SQRT($G$6/365)),$D$13*EXP(-$E$6*($G$6/365))*NORMSDIST(-((LN($A31/$D$13)+($E$6-$F$6+$G$13^2/2)*($G$6/365))/($G$13*SQRT($G$6/365))-$G$13*SQRT($G$6/365)))-$A31*EXP(-$F$6*($G$6/365))*NORMSDIST(-((LN($A31/$D$13)+($E$6-$F$6+$G$13^2/2)*($G$6/365))/($G$13*SQRT($G$6/365))))))))+$I$14</f>
        <v/>
      </c>
    </row>
    <row r="32">
      <c r="A32" s="48">
        <f>A31+$D$23</f>
        <v/>
      </c>
      <c r="B32" s="49">
        <f>IF($F$10=0,0,IF($B$10="Buy",1,-1)*(MAX(0,IF($C$10="Call",$A32-$D$10,$D$10-$A32))-$E$10)*$F$10*$H$6)</f>
        <v/>
      </c>
      <c r="C32" s="49">
        <f>IF($F$11=0,0,IF($B$11="Buy",1,-1)*(MAX(0,IF($C$11="Call",$A32-$D$11,$D$11-$A32))-$E$11)*$F$11*$H$6)</f>
        <v/>
      </c>
      <c r="D32" s="49">
        <f>IF($F$12=0,0,IF($B$12="Buy",1,-1)*(MAX(0,IF($C$12="Call",$A32-$D$12,$D$12-$A32))-$E$12)*$F$12*$H$6)</f>
        <v/>
      </c>
      <c r="E32" s="49">
        <f>IF($F$13=0,0,IF($B$13="Buy",1,-1)*(MAX(0,IF($C$13="Call",$A32-$D$13,$D$13-$A32))-$E$13)*$F$13*$H$6)</f>
        <v/>
      </c>
      <c r="F32" s="49">
        <f>SUM(B32:E32)</f>
        <v/>
      </c>
      <c r="G32" s="49">
        <f>N32</f>
        <v/>
      </c>
      <c r="H32" s="6" t="n">
        <v>0</v>
      </c>
      <c r="I32" s="50">
        <f>IF($D$19=0,0,F32/$D$19)</f>
        <v/>
      </c>
      <c r="K32" s="51">
        <f>IF($F$10=0,0,IF($B$10="Buy",1,-1)*$F$10*$H$6*IF($G$6&lt;=0,MAX(0,IF($C$10="Call",$A32-$D$10,$D$10-$A32)),IF($C$10="Call",$A32*EXP(-$F$6*($G$6/365))*NORMSDIST((LN($A32/$D$10)+($E$6-$F$6+$G$10^2/2)*($G$6/365))/($G$10*SQRT($G$6/365)))-$D$10*EXP(-$E$6*($G$6/365))*NORMSDIST((LN($A32/$D$10)+($E$6-$F$6+$G$10^2/2)*($G$6/365))/($G$10*SQRT($G$6/365))-$G$10*SQRT($G$6/365)),$D$10*EXP(-$E$6*($G$6/365))*NORMSDIST(-((LN($A32/$D$10)+($E$6-$F$6+$G$10^2/2)*($G$6/365))/($G$10*SQRT($G$6/365))-$G$10*SQRT($G$6/365)))-$A32*EXP(-$F$6*($G$6/365))*NORMSDIST(-((LN($A32/$D$10)+($E$6-$F$6+$G$10^2/2)*($G$6/365))/($G$10*SQRT($G$6/365)))))))</f>
        <v/>
      </c>
      <c r="L32" s="51">
        <f>IF($F$11=0,0,IF($B$11="Buy",1,-1)*$F$11*$H$6*IF($G$6&lt;=0,MAX(0,IF($C$11="Call",$A32-$D$11,$D$11-$A32)),IF($C$11="Call",$A32*EXP(-$F$6*($G$6/365))*NORMSDIST((LN($A32/$D$11)+($E$6-$F$6+$G$11^2/2)*($G$6/365))/($G$11*SQRT($G$6/365)))-$D$11*EXP(-$E$6*($G$6/365))*NORMSDIST((LN($A32/$D$11)+($E$6-$F$6+$G$11^2/2)*($G$6/365))/($G$11*SQRT($G$6/365))-$G$11*SQRT($G$6/365)),$D$11*EXP(-$E$6*($G$6/365))*NORMSDIST(-((LN($A32/$D$11)+($E$6-$F$6+$G$11^2/2)*($G$6/365))/($G$11*SQRT($G$6/365))-$G$11*SQRT($G$6/365)))-$A32*EXP(-$F$6*($G$6/365))*NORMSDIST(-((LN($A32/$D$11)+($E$6-$F$6+$G$11^2/2)*($G$6/365))/($G$11*SQRT($G$6/365)))))))</f>
        <v/>
      </c>
      <c r="M32" s="51">
        <f>IF($F$12=0,0,IF($B$12="Buy",1,-1)*$F$12*$H$6*IF($G$6&lt;=0,MAX(0,IF($C$12="Call",$A32-$D$12,$D$12-$A32)),IF($C$12="Call",$A32*EXP(-$F$6*($G$6/365))*NORMSDIST((LN($A32/$D$12)+($E$6-$F$6+$G$12^2/2)*($G$6/365))/($G$12*SQRT($G$6/365)))-$D$12*EXP(-$E$6*($G$6/365))*NORMSDIST((LN($A32/$D$12)+($E$6-$F$6+$G$12^2/2)*($G$6/365))/($G$12*SQRT($G$6/365))-$G$12*SQRT($G$6/365)),$D$12*EXP(-$E$6*($G$6/365))*NORMSDIST(-((LN($A32/$D$12)+($E$6-$F$6+$G$12^2/2)*($G$6/365))/($G$12*SQRT($G$6/365))-$G$12*SQRT($G$6/365)))-$A32*EXP(-$F$6*($G$6/365))*NORMSDIST(-((LN($A32/$D$12)+($E$6-$F$6+$G$12^2/2)*($G$6/365))/($G$12*SQRT($G$6/365)))))))</f>
        <v/>
      </c>
      <c r="N32" s="52">
        <f>K32+L32+M32+(IF($F$13=0,0,IF($B$13="Buy",1,-1)*$F$13*$H$6*IF($G$6&lt;=0,MAX(0,IF($C$13="Call",$A32-$D$13,$D$13-$A32)),IF($C$13="Call",$A32*EXP(-$F$6*($G$6/365))*NORMSDIST((LN($A32/$D$13)+($E$6-$F$6+$G$13^2/2)*($G$6/365))/($G$13*SQRT($G$6/365)))-$D$13*EXP(-$E$6*($G$6/365))*NORMSDIST((LN($A32/$D$13)+($E$6-$F$6+$G$13^2/2)*($G$6/365))/($G$13*SQRT($G$6/365))-$G$13*SQRT($G$6/365)),$D$13*EXP(-$E$6*($G$6/365))*NORMSDIST(-((LN($A32/$D$13)+($E$6-$F$6+$G$13^2/2)*($G$6/365))/($G$13*SQRT($G$6/365))-$G$13*SQRT($G$6/365)))-$A32*EXP(-$F$6*($G$6/365))*NORMSDIST(-((LN($A32/$D$13)+($E$6-$F$6+$G$13^2/2)*($G$6/365))/($G$13*SQRT($G$6/365))))))))+$I$14</f>
        <v/>
      </c>
    </row>
    <row r="33">
      <c r="A33" s="53">
        <f>A32+$D$23</f>
        <v/>
      </c>
      <c r="B33" s="54">
        <f>IF($F$10=0,0,IF($B$10="Buy",1,-1)*(MAX(0,IF($C$10="Call",$A33-$D$10,$D$10-$A33))-$E$10)*$F$10*$H$6)</f>
        <v/>
      </c>
      <c r="C33" s="54">
        <f>IF($F$11=0,0,IF($B$11="Buy",1,-1)*(MAX(0,IF($C$11="Call",$A33-$D$11,$D$11-$A33))-$E$11)*$F$11*$H$6)</f>
        <v/>
      </c>
      <c r="D33" s="54">
        <f>IF($F$12=0,0,IF($B$12="Buy",1,-1)*(MAX(0,IF($C$12="Call",$A33-$D$12,$D$12-$A33))-$E$12)*$F$12*$H$6)</f>
        <v/>
      </c>
      <c r="E33" s="54">
        <f>IF($F$13=0,0,IF($B$13="Buy",1,-1)*(MAX(0,IF($C$13="Call",$A33-$D$13,$D$13-$A33))-$E$13)*$F$13*$H$6)</f>
        <v/>
      </c>
      <c r="F33" s="54">
        <f>SUM(B33:E33)</f>
        <v/>
      </c>
      <c r="G33" s="54">
        <f>N33</f>
        <v/>
      </c>
      <c r="H33" s="9" t="n">
        <v>0</v>
      </c>
      <c r="I33" s="55">
        <f>IF($D$19=0,0,F33/$D$19)</f>
        <v/>
      </c>
      <c r="K33" s="51">
        <f>IF($F$10=0,0,IF($B$10="Buy",1,-1)*$F$10*$H$6*IF($G$6&lt;=0,MAX(0,IF($C$10="Call",$A33-$D$10,$D$10-$A33)),IF($C$10="Call",$A33*EXP(-$F$6*($G$6/365))*NORMSDIST((LN($A33/$D$10)+($E$6-$F$6+$G$10^2/2)*($G$6/365))/($G$10*SQRT($G$6/365)))-$D$10*EXP(-$E$6*($G$6/365))*NORMSDIST((LN($A33/$D$10)+($E$6-$F$6+$G$10^2/2)*($G$6/365))/($G$10*SQRT($G$6/365))-$G$10*SQRT($G$6/365)),$D$10*EXP(-$E$6*($G$6/365))*NORMSDIST(-((LN($A33/$D$10)+($E$6-$F$6+$G$10^2/2)*($G$6/365))/($G$10*SQRT($G$6/365))-$G$10*SQRT($G$6/365)))-$A33*EXP(-$F$6*($G$6/365))*NORMSDIST(-((LN($A33/$D$10)+($E$6-$F$6+$G$10^2/2)*($G$6/365))/($G$10*SQRT($G$6/365)))))))</f>
        <v/>
      </c>
      <c r="L33" s="51">
        <f>IF($F$11=0,0,IF($B$11="Buy",1,-1)*$F$11*$H$6*IF($G$6&lt;=0,MAX(0,IF($C$11="Call",$A33-$D$11,$D$11-$A33)),IF($C$11="Call",$A33*EXP(-$F$6*($G$6/365))*NORMSDIST((LN($A33/$D$11)+($E$6-$F$6+$G$11^2/2)*($G$6/365))/($G$11*SQRT($G$6/365)))-$D$11*EXP(-$E$6*($G$6/365))*NORMSDIST((LN($A33/$D$11)+($E$6-$F$6+$G$11^2/2)*($G$6/365))/($G$11*SQRT($G$6/365))-$G$11*SQRT($G$6/365)),$D$11*EXP(-$E$6*($G$6/365))*NORMSDIST(-((LN($A33/$D$11)+($E$6-$F$6+$G$11^2/2)*($G$6/365))/($G$11*SQRT($G$6/365))-$G$11*SQRT($G$6/365)))-$A33*EXP(-$F$6*($G$6/365))*NORMSDIST(-((LN($A33/$D$11)+($E$6-$F$6+$G$11^2/2)*($G$6/365))/($G$11*SQRT($G$6/365)))))))</f>
        <v/>
      </c>
      <c r="M33" s="51">
        <f>IF($F$12=0,0,IF($B$12="Buy",1,-1)*$F$12*$H$6*IF($G$6&lt;=0,MAX(0,IF($C$12="Call",$A33-$D$12,$D$12-$A33)),IF($C$12="Call",$A33*EXP(-$F$6*($G$6/365))*NORMSDIST((LN($A33/$D$12)+($E$6-$F$6+$G$12^2/2)*($G$6/365))/($G$12*SQRT($G$6/365)))-$D$12*EXP(-$E$6*($G$6/365))*NORMSDIST((LN($A33/$D$12)+($E$6-$F$6+$G$12^2/2)*($G$6/365))/($G$12*SQRT($G$6/365))-$G$12*SQRT($G$6/365)),$D$12*EXP(-$E$6*($G$6/365))*NORMSDIST(-((LN($A33/$D$12)+($E$6-$F$6+$G$12^2/2)*($G$6/365))/($G$12*SQRT($G$6/365))-$G$12*SQRT($G$6/365)))-$A33*EXP(-$F$6*($G$6/365))*NORMSDIST(-((LN($A33/$D$12)+($E$6-$F$6+$G$12^2/2)*($G$6/365))/($G$12*SQRT($G$6/365)))))))</f>
        <v/>
      </c>
      <c r="N33" s="52">
        <f>K33+L33+M33+(IF($F$13=0,0,IF($B$13="Buy",1,-1)*$F$13*$H$6*IF($G$6&lt;=0,MAX(0,IF($C$13="Call",$A33-$D$13,$D$13-$A33)),IF($C$13="Call",$A33*EXP(-$F$6*($G$6/365))*NORMSDIST((LN($A33/$D$13)+($E$6-$F$6+$G$13^2/2)*($G$6/365))/($G$13*SQRT($G$6/365)))-$D$13*EXP(-$E$6*($G$6/365))*NORMSDIST((LN($A33/$D$13)+($E$6-$F$6+$G$13^2/2)*($G$6/365))/($G$13*SQRT($G$6/365))-$G$13*SQRT($G$6/365)),$D$13*EXP(-$E$6*($G$6/365))*NORMSDIST(-((LN($A33/$D$13)+($E$6-$F$6+$G$13^2/2)*($G$6/365))/($G$13*SQRT($G$6/365))-$G$13*SQRT($G$6/365)))-$A33*EXP(-$F$6*($G$6/365))*NORMSDIST(-((LN($A33/$D$13)+($E$6-$F$6+$G$13^2/2)*($G$6/365))/($G$13*SQRT($G$6/365))))))))+$I$14</f>
        <v/>
      </c>
    </row>
    <row r="34">
      <c r="A34" s="48">
        <f>A33+$D$23</f>
        <v/>
      </c>
      <c r="B34" s="49">
        <f>IF($F$10=0,0,IF($B$10="Buy",1,-1)*(MAX(0,IF($C$10="Call",$A34-$D$10,$D$10-$A34))-$E$10)*$F$10*$H$6)</f>
        <v/>
      </c>
      <c r="C34" s="49">
        <f>IF($F$11=0,0,IF($B$11="Buy",1,-1)*(MAX(0,IF($C$11="Call",$A34-$D$11,$D$11-$A34))-$E$11)*$F$11*$H$6)</f>
        <v/>
      </c>
      <c r="D34" s="49">
        <f>IF($F$12=0,0,IF($B$12="Buy",1,-1)*(MAX(0,IF($C$12="Call",$A34-$D$12,$D$12-$A34))-$E$12)*$F$12*$H$6)</f>
        <v/>
      </c>
      <c r="E34" s="49">
        <f>IF($F$13=0,0,IF($B$13="Buy",1,-1)*(MAX(0,IF($C$13="Call",$A34-$D$13,$D$13-$A34))-$E$13)*$F$13*$H$6)</f>
        <v/>
      </c>
      <c r="F34" s="49">
        <f>SUM(B34:E34)</f>
        <v/>
      </c>
      <c r="G34" s="49">
        <f>N34</f>
        <v/>
      </c>
      <c r="H34" s="6" t="n">
        <v>0</v>
      </c>
      <c r="I34" s="50">
        <f>IF($D$19=0,0,F34/$D$19)</f>
        <v/>
      </c>
      <c r="K34" s="51">
        <f>IF($F$10=0,0,IF($B$10="Buy",1,-1)*$F$10*$H$6*IF($G$6&lt;=0,MAX(0,IF($C$10="Call",$A34-$D$10,$D$10-$A34)),IF($C$10="Call",$A34*EXP(-$F$6*($G$6/365))*NORMSDIST((LN($A34/$D$10)+($E$6-$F$6+$G$10^2/2)*($G$6/365))/($G$10*SQRT($G$6/365)))-$D$10*EXP(-$E$6*($G$6/365))*NORMSDIST((LN($A34/$D$10)+($E$6-$F$6+$G$10^2/2)*($G$6/365))/($G$10*SQRT($G$6/365))-$G$10*SQRT($G$6/365)),$D$10*EXP(-$E$6*($G$6/365))*NORMSDIST(-((LN($A34/$D$10)+($E$6-$F$6+$G$10^2/2)*($G$6/365))/($G$10*SQRT($G$6/365))-$G$10*SQRT($G$6/365)))-$A34*EXP(-$F$6*($G$6/365))*NORMSDIST(-((LN($A34/$D$10)+($E$6-$F$6+$G$10^2/2)*($G$6/365))/($G$10*SQRT($G$6/365)))))))</f>
        <v/>
      </c>
      <c r="L34" s="51">
        <f>IF($F$11=0,0,IF($B$11="Buy",1,-1)*$F$11*$H$6*IF($G$6&lt;=0,MAX(0,IF($C$11="Call",$A34-$D$11,$D$11-$A34)),IF($C$11="Call",$A34*EXP(-$F$6*($G$6/365))*NORMSDIST((LN($A34/$D$11)+($E$6-$F$6+$G$11^2/2)*($G$6/365))/($G$11*SQRT($G$6/365)))-$D$11*EXP(-$E$6*($G$6/365))*NORMSDIST((LN($A34/$D$11)+($E$6-$F$6+$G$11^2/2)*($G$6/365))/($G$11*SQRT($G$6/365))-$G$11*SQRT($G$6/365)),$D$11*EXP(-$E$6*($G$6/365))*NORMSDIST(-((LN($A34/$D$11)+($E$6-$F$6+$G$11^2/2)*($G$6/365))/($G$11*SQRT($G$6/365))-$G$11*SQRT($G$6/365)))-$A34*EXP(-$F$6*($G$6/365))*NORMSDIST(-((LN($A34/$D$11)+($E$6-$F$6+$G$11^2/2)*($G$6/365))/($G$11*SQRT($G$6/365)))))))</f>
        <v/>
      </c>
      <c r="M34" s="51">
        <f>IF($F$12=0,0,IF($B$12="Buy",1,-1)*$F$12*$H$6*IF($G$6&lt;=0,MAX(0,IF($C$12="Call",$A34-$D$12,$D$12-$A34)),IF($C$12="Call",$A34*EXP(-$F$6*($G$6/365))*NORMSDIST((LN($A34/$D$12)+($E$6-$F$6+$G$12^2/2)*($G$6/365))/($G$12*SQRT($G$6/365)))-$D$12*EXP(-$E$6*($G$6/365))*NORMSDIST((LN($A34/$D$12)+($E$6-$F$6+$G$12^2/2)*($G$6/365))/($G$12*SQRT($G$6/365))-$G$12*SQRT($G$6/365)),$D$12*EXP(-$E$6*($G$6/365))*NORMSDIST(-((LN($A34/$D$12)+($E$6-$F$6+$G$12^2/2)*($G$6/365))/($G$12*SQRT($G$6/365))-$G$12*SQRT($G$6/365)))-$A34*EXP(-$F$6*($G$6/365))*NORMSDIST(-((LN($A34/$D$12)+($E$6-$F$6+$G$12^2/2)*($G$6/365))/($G$12*SQRT($G$6/365)))))))</f>
        <v/>
      </c>
      <c r="N34" s="52">
        <f>K34+L34+M34+(IF($F$13=0,0,IF($B$13="Buy",1,-1)*$F$13*$H$6*IF($G$6&lt;=0,MAX(0,IF($C$13="Call",$A34-$D$13,$D$13-$A34)),IF($C$13="Call",$A34*EXP(-$F$6*($G$6/365))*NORMSDIST((LN($A34/$D$13)+($E$6-$F$6+$G$13^2/2)*($G$6/365))/($G$13*SQRT($G$6/365)))-$D$13*EXP(-$E$6*($G$6/365))*NORMSDIST((LN($A34/$D$13)+($E$6-$F$6+$G$13^2/2)*($G$6/365))/($G$13*SQRT($G$6/365))-$G$13*SQRT($G$6/365)),$D$13*EXP(-$E$6*($G$6/365))*NORMSDIST(-((LN($A34/$D$13)+($E$6-$F$6+$G$13^2/2)*($G$6/365))/($G$13*SQRT($G$6/365))-$G$13*SQRT($G$6/365)))-$A34*EXP(-$F$6*($G$6/365))*NORMSDIST(-((LN($A34/$D$13)+($E$6-$F$6+$G$13^2/2)*($G$6/365))/($G$13*SQRT($G$6/365))))))))+$I$14</f>
        <v/>
      </c>
    </row>
    <row r="35">
      <c r="A35" s="53">
        <f>A34+$D$23</f>
        <v/>
      </c>
      <c r="B35" s="54">
        <f>IF($F$10=0,0,IF($B$10="Buy",1,-1)*(MAX(0,IF($C$10="Call",$A35-$D$10,$D$10-$A35))-$E$10)*$F$10*$H$6)</f>
        <v/>
      </c>
      <c r="C35" s="54">
        <f>IF($F$11=0,0,IF($B$11="Buy",1,-1)*(MAX(0,IF($C$11="Call",$A35-$D$11,$D$11-$A35))-$E$11)*$F$11*$H$6)</f>
        <v/>
      </c>
      <c r="D35" s="54">
        <f>IF($F$12=0,0,IF($B$12="Buy",1,-1)*(MAX(0,IF($C$12="Call",$A35-$D$12,$D$12-$A35))-$E$12)*$F$12*$H$6)</f>
        <v/>
      </c>
      <c r="E35" s="54">
        <f>IF($F$13=0,0,IF($B$13="Buy",1,-1)*(MAX(0,IF($C$13="Call",$A35-$D$13,$D$13-$A35))-$E$13)*$F$13*$H$6)</f>
        <v/>
      </c>
      <c r="F35" s="54">
        <f>SUM(B35:E35)</f>
        <v/>
      </c>
      <c r="G35" s="54">
        <f>N35</f>
        <v/>
      </c>
      <c r="H35" s="9" t="n">
        <v>0</v>
      </c>
      <c r="I35" s="55">
        <f>IF($D$19=0,0,F35/$D$19)</f>
        <v/>
      </c>
      <c r="K35" s="51">
        <f>IF($F$10=0,0,IF($B$10="Buy",1,-1)*$F$10*$H$6*IF($G$6&lt;=0,MAX(0,IF($C$10="Call",$A35-$D$10,$D$10-$A35)),IF($C$10="Call",$A35*EXP(-$F$6*($G$6/365))*NORMSDIST((LN($A35/$D$10)+($E$6-$F$6+$G$10^2/2)*($G$6/365))/($G$10*SQRT($G$6/365)))-$D$10*EXP(-$E$6*($G$6/365))*NORMSDIST((LN($A35/$D$10)+($E$6-$F$6+$G$10^2/2)*($G$6/365))/($G$10*SQRT($G$6/365))-$G$10*SQRT($G$6/365)),$D$10*EXP(-$E$6*($G$6/365))*NORMSDIST(-((LN($A35/$D$10)+($E$6-$F$6+$G$10^2/2)*($G$6/365))/($G$10*SQRT($G$6/365))-$G$10*SQRT($G$6/365)))-$A35*EXP(-$F$6*($G$6/365))*NORMSDIST(-((LN($A35/$D$10)+($E$6-$F$6+$G$10^2/2)*($G$6/365))/($G$10*SQRT($G$6/365)))))))</f>
        <v/>
      </c>
      <c r="L35" s="51">
        <f>IF($F$11=0,0,IF($B$11="Buy",1,-1)*$F$11*$H$6*IF($G$6&lt;=0,MAX(0,IF($C$11="Call",$A35-$D$11,$D$11-$A35)),IF($C$11="Call",$A35*EXP(-$F$6*($G$6/365))*NORMSDIST((LN($A35/$D$11)+($E$6-$F$6+$G$11^2/2)*($G$6/365))/($G$11*SQRT($G$6/365)))-$D$11*EXP(-$E$6*($G$6/365))*NORMSDIST((LN($A35/$D$11)+($E$6-$F$6+$G$11^2/2)*($G$6/365))/($G$11*SQRT($G$6/365))-$G$11*SQRT($G$6/365)),$D$11*EXP(-$E$6*($G$6/365))*NORMSDIST(-((LN($A35/$D$11)+($E$6-$F$6+$G$11^2/2)*($G$6/365))/($G$11*SQRT($G$6/365))-$G$11*SQRT($G$6/365)))-$A35*EXP(-$F$6*($G$6/365))*NORMSDIST(-((LN($A35/$D$11)+($E$6-$F$6+$G$11^2/2)*($G$6/365))/($G$11*SQRT($G$6/365)))))))</f>
        <v/>
      </c>
      <c r="M35" s="51">
        <f>IF($F$12=0,0,IF($B$12="Buy",1,-1)*$F$12*$H$6*IF($G$6&lt;=0,MAX(0,IF($C$12="Call",$A35-$D$12,$D$12-$A35)),IF($C$12="Call",$A35*EXP(-$F$6*($G$6/365))*NORMSDIST((LN($A35/$D$12)+($E$6-$F$6+$G$12^2/2)*($G$6/365))/($G$12*SQRT($G$6/365)))-$D$12*EXP(-$E$6*($G$6/365))*NORMSDIST((LN($A35/$D$12)+($E$6-$F$6+$G$12^2/2)*($G$6/365))/($G$12*SQRT($G$6/365))-$G$12*SQRT($G$6/365)),$D$12*EXP(-$E$6*($G$6/365))*NORMSDIST(-((LN($A35/$D$12)+($E$6-$F$6+$G$12^2/2)*($G$6/365))/($G$12*SQRT($G$6/365))-$G$12*SQRT($G$6/365)))-$A35*EXP(-$F$6*($G$6/365))*NORMSDIST(-((LN($A35/$D$12)+($E$6-$F$6+$G$12^2/2)*($G$6/365))/($G$12*SQRT($G$6/365)))))))</f>
        <v/>
      </c>
      <c r="N35" s="52">
        <f>K35+L35+M35+(IF($F$13=0,0,IF($B$13="Buy",1,-1)*$F$13*$H$6*IF($G$6&lt;=0,MAX(0,IF($C$13="Call",$A35-$D$13,$D$13-$A35)),IF($C$13="Call",$A35*EXP(-$F$6*($G$6/365))*NORMSDIST((LN($A35/$D$13)+($E$6-$F$6+$G$13^2/2)*($G$6/365))/($G$13*SQRT($G$6/365)))-$D$13*EXP(-$E$6*($G$6/365))*NORMSDIST((LN($A35/$D$13)+($E$6-$F$6+$G$13^2/2)*($G$6/365))/($G$13*SQRT($G$6/365))-$G$13*SQRT($G$6/365)),$D$13*EXP(-$E$6*($G$6/365))*NORMSDIST(-((LN($A35/$D$13)+($E$6-$F$6+$G$13^2/2)*($G$6/365))/($G$13*SQRT($G$6/365))-$G$13*SQRT($G$6/365)))-$A35*EXP(-$F$6*($G$6/365))*NORMSDIST(-((LN($A35/$D$13)+($E$6-$F$6+$G$13^2/2)*($G$6/365))/($G$13*SQRT($G$6/365))))))))+$I$14</f>
        <v/>
      </c>
    </row>
    <row r="36">
      <c r="A36" s="48">
        <f>A35+$D$23</f>
        <v/>
      </c>
      <c r="B36" s="49">
        <f>IF($F$10=0,0,IF($B$10="Buy",1,-1)*(MAX(0,IF($C$10="Call",$A36-$D$10,$D$10-$A36))-$E$10)*$F$10*$H$6)</f>
        <v/>
      </c>
      <c r="C36" s="49">
        <f>IF($F$11=0,0,IF($B$11="Buy",1,-1)*(MAX(0,IF($C$11="Call",$A36-$D$11,$D$11-$A36))-$E$11)*$F$11*$H$6)</f>
        <v/>
      </c>
      <c r="D36" s="49">
        <f>IF($F$12=0,0,IF($B$12="Buy",1,-1)*(MAX(0,IF($C$12="Call",$A36-$D$12,$D$12-$A36))-$E$12)*$F$12*$H$6)</f>
        <v/>
      </c>
      <c r="E36" s="49">
        <f>IF($F$13=0,0,IF($B$13="Buy",1,-1)*(MAX(0,IF($C$13="Call",$A36-$D$13,$D$13-$A36))-$E$13)*$F$13*$H$6)</f>
        <v/>
      </c>
      <c r="F36" s="49">
        <f>SUM(B36:E36)</f>
        <v/>
      </c>
      <c r="G36" s="49">
        <f>N36</f>
        <v/>
      </c>
      <c r="H36" s="6" t="n">
        <v>0</v>
      </c>
      <c r="I36" s="50">
        <f>IF($D$19=0,0,F36/$D$19)</f>
        <v/>
      </c>
      <c r="K36" s="51">
        <f>IF($F$10=0,0,IF($B$10="Buy",1,-1)*$F$10*$H$6*IF($G$6&lt;=0,MAX(0,IF($C$10="Call",$A36-$D$10,$D$10-$A36)),IF($C$10="Call",$A36*EXP(-$F$6*($G$6/365))*NORMSDIST((LN($A36/$D$10)+($E$6-$F$6+$G$10^2/2)*($G$6/365))/($G$10*SQRT($G$6/365)))-$D$10*EXP(-$E$6*($G$6/365))*NORMSDIST((LN($A36/$D$10)+($E$6-$F$6+$G$10^2/2)*($G$6/365))/($G$10*SQRT($G$6/365))-$G$10*SQRT($G$6/365)),$D$10*EXP(-$E$6*($G$6/365))*NORMSDIST(-((LN($A36/$D$10)+($E$6-$F$6+$G$10^2/2)*($G$6/365))/($G$10*SQRT($G$6/365))-$G$10*SQRT($G$6/365)))-$A36*EXP(-$F$6*($G$6/365))*NORMSDIST(-((LN($A36/$D$10)+($E$6-$F$6+$G$10^2/2)*($G$6/365))/($G$10*SQRT($G$6/365)))))))</f>
        <v/>
      </c>
      <c r="L36" s="51">
        <f>IF($F$11=0,0,IF($B$11="Buy",1,-1)*$F$11*$H$6*IF($G$6&lt;=0,MAX(0,IF($C$11="Call",$A36-$D$11,$D$11-$A36)),IF($C$11="Call",$A36*EXP(-$F$6*($G$6/365))*NORMSDIST((LN($A36/$D$11)+($E$6-$F$6+$G$11^2/2)*($G$6/365))/($G$11*SQRT($G$6/365)))-$D$11*EXP(-$E$6*($G$6/365))*NORMSDIST((LN($A36/$D$11)+($E$6-$F$6+$G$11^2/2)*($G$6/365))/($G$11*SQRT($G$6/365))-$G$11*SQRT($G$6/365)),$D$11*EXP(-$E$6*($G$6/365))*NORMSDIST(-((LN($A36/$D$11)+($E$6-$F$6+$G$11^2/2)*($G$6/365))/($G$11*SQRT($G$6/365))-$G$11*SQRT($G$6/365)))-$A36*EXP(-$F$6*($G$6/365))*NORMSDIST(-((LN($A36/$D$11)+($E$6-$F$6+$G$11^2/2)*($G$6/365))/($G$11*SQRT($G$6/365)))))))</f>
        <v/>
      </c>
      <c r="M36" s="51">
        <f>IF($F$12=0,0,IF($B$12="Buy",1,-1)*$F$12*$H$6*IF($G$6&lt;=0,MAX(0,IF($C$12="Call",$A36-$D$12,$D$12-$A36)),IF($C$12="Call",$A36*EXP(-$F$6*($G$6/365))*NORMSDIST((LN($A36/$D$12)+($E$6-$F$6+$G$12^2/2)*($G$6/365))/($G$12*SQRT($G$6/365)))-$D$12*EXP(-$E$6*($G$6/365))*NORMSDIST((LN($A36/$D$12)+($E$6-$F$6+$G$12^2/2)*($G$6/365))/($G$12*SQRT($G$6/365))-$G$12*SQRT($G$6/365)),$D$12*EXP(-$E$6*($G$6/365))*NORMSDIST(-((LN($A36/$D$12)+($E$6-$F$6+$G$12^2/2)*($G$6/365))/($G$12*SQRT($G$6/365))-$G$12*SQRT($G$6/365)))-$A36*EXP(-$F$6*($G$6/365))*NORMSDIST(-((LN($A36/$D$12)+($E$6-$F$6+$G$12^2/2)*($G$6/365))/($G$12*SQRT($G$6/365)))))))</f>
        <v/>
      </c>
      <c r="N36" s="52">
        <f>K36+L36+M36+(IF($F$13=0,0,IF($B$13="Buy",1,-1)*$F$13*$H$6*IF($G$6&lt;=0,MAX(0,IF($C$13="Call",$A36-$D$13,$D$13-$A36)),IF($C$13="Call",$A36*EXP(-$F$6*($G$6/365))*NORMSDIST((LN($A36/$D$13)+($E$6-$F$6+$G$13^2/2)*($G$6/365))/($G$13*SQRT($G$6/365)))-$D$13*EXP(-$E$6*($G$6/365))*NORMSDIST((LN($A36/$D$13)+($E$6-$F$6+$G$13^2/2)*($G$6/365))/($G$13*SQRT($G$6/365))-$G$13*SQRT($G$6/365)),$D$13*EXP(-$E$6*($G$6/365))*NORMSDIST(-((LN($A36/$D$13)+($E$6-$F$6+$G$13^2/2)*($G$6/365))/($G$13*SQRT($G$6/365))-$G$13*SQRT($G$6/365)))-$A36*EXP(-$F$6*($G$6/365))*NORMSDIST(-((LN($A36/$D$13)+($E$6-$F$6+$G$13^2/2)*($G$6/365))/($G$13*SQRT($G$6/365))))))))+$I$14</f>
        <v/>
      </c>
    </row>
    <row r="37">
      <c r="A37" s="53">
        <f>A36+$D$23</f>
        <v/>
      </c>
      <c r="B37" s="54">
        <f>IF($F$10=0,0,IF($B$10="Buy",1,-1)*(MAX(0,IF($C$10="Call",$A37-$D$10,$D$10-$A37))-$E$10)*$F$10*$H$6)</f>
        <v/>
      </c>
      <c r="C37" s="54">
        <f>IF($F$11=0,0,IF($B$11="Buy",1,-1)*(MAX(0,IF($C$11="Call",$A37-$D$11,$D$11-$A37))-$E$11)*$F$11*$H$6)</f>
        <v/>
      </c>
      <c r="D37" s="54">
        <f>IF($F$12=0,0,IF($B$12="Buy",1,-1)*(MAX(0,IF($C$12="Call",$A37-$D$12,$D$12-$A37))-$E$12)*$F$12*$H$6)</f>
        <v/>
      </c>
      <c r="E37" s="54">
        <f>IF($F$13=0,0,IF($B$13="Buy",1,-1)*(MAX(0,IF($C$13="Call",$A37-$D$13,$D$13-$A37))-$E$13)*$F$13*$H$6)</f>
        <v/>
      </c>
      <c r="F37" s="54">
        <f>SUM(B37:E37)</f>
        <v/>
      </c>
      <c r="G37" s="54">
        <f>N37</f>
        <v/>
      </c>
      <c r="H37" s="9" t="n">
        <v>0</v>
      </c>
      <c r="I37" s="55">
        <f>IF($D$19=0,0,F37/$D$19)</f>
        <v/>
      </c>
      <c r="K37" s="51">
        <f>IF($F$10=0,0,IF($B$10="Buy",1,-1)*$F$10*$H$6*IF($G$6&lt;=0,MAX(0,IF($C$10="Call",$A37-$D$10,$D$10-$A37)),IF($C$10="Call",$A37*EXP(-$F$6*($G$6/365))*NORMSDIST((LN($A37/$D$10)+($E$6-$F$6+$G$10^2/2)*($G$6/365))/($G$10*SQRT($G$6/365)))-$D$10*EXP(-$E$6*($G$6/365))*NORMSDIST((LN($A37/$D$10)+($E$6-$F$6+$G$10^2/2)*($G$6/365))/($G$10*SQRT($G$6/365))-$G$10*SQRT($G$6/365)),$D$10*EXP(-$E$6*($G$6/365))*NORMSDIST(-((LN($A37/$D$10)+($E$6-$F$6+$G$10^2/2)*($G$6/365))/($G$10*SQRT($G$6/365))-$G$10*SQRT($G$6/365)))-$A37*EXP(-$F$6*($G$6/365))*NORMSDIST(-((LN($A37/$D$10)+($E$6-$F$6+$G$10^2/2)*($G$6/365))/($G$10*SQRT($G$6/365)))))))</f>
        <v/>
      </c>
      <c r="L37" s="51">
        <f>IF($F$11=0,0,IF($B$11="Buy",1,-1)*$F$11*$H$6*IF($G$6&lt;=0,MAX(0,IF($C$11="Call",$A37-$D$11,$D$11-$A37)),IF($C$11="Call",$A37*EXP(-$F$6*($G$6/365))*NORMSDIST((LN($A37/$D$11)+($E$6-$F$6+$G$11^2/2)*($G$6/365))/($G$11*SQRT($G$6/365)))-$D$11*EXP(-$E$6*($G$6/365))*NORMSDIST((LN($A37/$D$11)+($E$6-$F$6+$G$11^2/2)*($G$6/365))/($G$11*SQRT($G$6/365))-$G$11*SQRT($G$6/365)),$D$11*EXP(-$E$6*($G$6/365))*NORMSDIST(-((LN($A37/$D$11)+($E$6-$F$6+$G$11^2/2)*($G$6/365))/($G$11*SQRT($G$6/365))-$G$11*SQRT($G$6/365)))-$A37*EXP(-$F$6*($G$6/365))*NORMSDIST(-((LN($A37/$D$11)+($E$6-$F$6+$G$11^2/2)*($G$6/365))/($G$11*SQRT($G$6/365)))))))</f>
        <v/>
      </c>
      <c r="M37" s="51">
        <f>IF($F$12=0,0,IF($B$12="Buy",1,-1)*$F$12*$H$6*IF($G$6&lt;=0,MAX(0,IF($C$12="Call",$A37-$D$12,$D$12-$A37)),IF($C$12="Call",$A37*EXP(-$F$6*($G$6/365))*NORMSDIST((LN($A37/$D$12)+($E$6-$F$6+$G$12^2/2)*($G$6/365))/($G$12*SQRT($G$6/365)))-$D$12*EXP(-$E$6*($G$6/365))*NORMSDIST((LN($A37/$D$12)+($E$6-$F$6+$G$12^2/2)*($G$6/365))/($G$12*SQRT($G$6/365))-$G$12*SQRT($G$6/365)),$D$12*EXP(-$E$6*($G$6/365))*NORMSDIST(-((LN($A37/$D$12)+($E$6-$F$6+$G$12^2/2)*($G$6/365))/($G$12*SQRT($G$6/365))-$G$12*SQRT($G$6/365)))-$A37*EXP(-$F$6*($G$6/365))*NORMSDIST(-((LN($A37/$D$12)+($E$6-$F$6+$G$12^2/2)*($G$6/365))/($G$12*SQRT($G$6/365)))))))</f>
        <v/>
      </c>
      <c r="N37" s="52">
        <f>K37+L37+M37+(IF($F$13=0,0,IF($B$13="Buy",1,-1)*$F$13*$H$6*IF($G$6&lt;=0,MAX(0,IF($C$13="Call",$A37-$D$13,$D$13-$A37)),IF($C$13="Call",$A37*EXP(-$F$6*($G$6/365))*NORMSDIST((LN($A37/$D$13)+($E$6-$F$6+$G$13^2/2)*($G$6/365))/($G$13*SQRT($G$6/365)))-$D$13*EXP(-$E$6*($G$6/365))*NORMSDIST((LN($A37/$D$13)+($E$6-$F$6+$G$13^2/2)*($G$6/365))/($G$13*SQRT($G$6/365))-$G$13*SQRT($G$6/365)),$D$13*EXP(-$E$6*($G$6/365))*NORMSDIST(-((LN($A37/$D$13)+($E$6-$F$6+$G$13^2/2)*($G$6/365))/($G$13*SQRT($G$6/365))-$G$13*SQRT($G$6/365)))-$A37*EXP(-$F$6*($G$6/365))*NORMSDIST(-((LN($A37/$D$13)+($E$6-$F$6+$G$13^2/2)*($G$6/365))/($G$13*SQRT($G$6/365))))))))+$I$14</f>
        <v/>
      </c>
    </row>
    <row r="38">
      <c r="A38" s="48">
        <f>A37+$D$23</f>
        <v/>
      </c>
      <c r="B38" s="49">
        <f>IF($F$10=0,0,IF($B$10="Buy",1,-1)*(MAX(0,IF($C$10="Call",$A38-$D$10,$D$10-$A38))-$E$10)*$F$10*$H$6)</f>
        <v/>
      </c>
      <c r="C38" s="49">
        <f>IF($F$11=0,0,IF($B$11="Buy",1,-1)*(MAX(0,IF($C$11="Call",$A38-$D$11,$D$11-$A38))-$E$11)*$F$11*$H$6)</f>
        <v/>
      </c>
      <c r="D38" s="49">
        <f>IF($F$12=0,0,IF($B$12="Buy",1,-1)*(MAX(0,IF($C$12="Call",$A38-$D$12,$D$12-$A38))-$E$12)*$F$12*$H$6)</f>
        <v/>
      </c>
      <c r="E38" s="49">
        <f>IF($F$13=0,0,IF($B$13="Buy",1,-1)*(MAX(0,IF($C$13="Call",$A38-$D$13,$D$13-$A38))-$E$13)*$F$13*$H$6)</f>
        <v/>
      </c>
      <c r="F38" s="49">
        <f>SUM(B38:E38)</f>
        <v/>
      </c>
      <c r="G38" s="49">
        <f>N38</f>
        <v/>
      </c>
      <c r="H38" s="6" t="n">
        <v>0</v>
      </c>
      <c r="I38" s="50">
        <f>IF($D$19=0,0,F38/$D$19)</f>
        <v/>
      </c>
      <c r="K38" s="51">
        <f>IF($F$10=0,0,IF($B$10="Buy",1,-1)*$F$10*$H$6*IF($G$6&lt;=0,MAX(0,IF($C$10="Call",$A38-$D$10,$D$10-$A38)),IF($C$10="Call",$A38*EXP(-$F$6*($G$6/365))*NORMSDIST((LN($A38/$D$10)+($E$6-$F$6+$G$10^2/2)*($G$6/365))/($G$10*SQRT($G$6/365)))-$D$10*EXP(-$E$6*($G$6/365))*NORMSDIST((LN($A38/$D$10)+($E$6-$F$6+$G$10^2/2)*($G$6/365))/($G$10*SQRT($G$6/365))-$G$10*SQRT($G$6/365)),$D$10*EXP(-$E$6*($G$6/365))*NORMSDIST(-((LN($A38/$D$10)+($E$6-$F$6+$G$10^2/2)*($G$6/365))/($G$10*SQRT($G$6/365))-$G$10*SQRT($G$6/365)))-$A38*EXP(-$F$6*($G$6/365))*NORMSDIST(-((LN($A38/$D$10)+($E$6-$F$6+$G$10^2/2)*($G$6/365))/($G$10*SQRT($G$6/365)))))))</f>
        <v/>
      </c>
      <c r="L38" s="51">
        <f>IF($F$11=0,0,IF($B$11="Buy",1,-1)*$F$11*$H$6*IF($G$6&lt;=0,MAX(0,IF($C$11="Call",$A38-$D$11,$D$11-$A38)),IF($C$11="Call",$A38*EXP(-$F$6*($G$6/365))*NORMSDIST((LN($A38/$D$11)+($E$6-$F$6+$G$11^2/2)*($G$6/365))/($G$11*SQRT($G$6/365)))-$D$11*EXP(-$E$6*($G$6/365))*NORMSDIST((LN($A38/$D$11)+($E$6-$F$6+$G$11^2/2)*($G$6/365))/($G$11*SQRT($G$6/365))-$G$11*SQRT($G$6/365)),$D$11*EXP(-$E$6*($G$6/365))*NORMSDIST(-((LN($A38/$D$11)+($E$6-$F$6+$G$11^2/2)*($G$6/365))/($G$11*SQRT($G$6/365))-$G$11*SQRT($G$6/365)))-$A38*EXP(-$F$6*($G$6/365))*NORMSDIST(-((LN($A38/$D$11)+($E$6-$F$6+$G$11^2/2)*($G$6/365))/($G$11*SQRT($G$6/365)))))))</f>
        <v/>
      </c>
      <c r="M38" s="51">
        <f>IF($F$12=0,0,IF($B$12="Buy",1,-1)*$F$12*$H$6*IF($G$6&lt;=0,MAX(0,IF($C$12="Call",$A38-$D$12,$D$12-$A38)),IF($C$12="Call",$A38*EXP(-$F$6*($G$6/365))*NORMSDIST((LN($A38/$D$12)+($E$6-$F$6+$G$12^2/2)*($G$6/365))/($G$12*SQRT($G$6/365)))-$D$12*EXP(-$E$6*($G$6/365))*NORMSDIST((LN($A38/$D$12)+($E$6-$F$6+$G$12^2/2)*($G$6/365))/($G$12*SQRT($G$6/365))-$G$12*SQRT($G$6/365)),$D$12*EXP(-$E$6*($G$6/365))*NORMSDIST(-((LN($A38/$D$12)+($E$6-$F$6+$G$12^2/2)*($G$6/365))/($G$12*SQRT($G$6/365))-$G$12*SQRT($G$6/365)))-$A38*EXP(-$F$6*($G$6/365))*NORMSDIST(-((LN($A38/$D$12)+($E$6-$F$6+$G$12^2/2)*($G$6/365))/($G$12*SQRT($G$6/365)))))))</f>
        <v/>
      </c>
      <c r="N38" s="52">
        <f>K38+L38+M38+(IF($F$13=0,0,IF($B$13="Buy",1,-1)*$F$13*$H$6*IF($G$6&lt;=0,MAX(0,IF($C$13="Call",$A38-$D$13,$D$13-$A38)),IF($C$13="Call",$A38*EXP(-$F$6*($G$6/365))*NORMSDIST((LN($A38/$D$13)+($E$6-$F$6+$G$13^2/2)*($G$6/365))/($G$13*SQRT($G$6/365)))-$D$13*EXP(-$E$6*($G$6/365))*NORMSDIST((LN($A38/$D$13)+($E$6-$F$6+$G$13^2/2)*($G$6/365))/($G$13*SQRT($G$6/365))-$G$13*SQRT($G$6/365)),$D$13*EXP(-$E$6*($G$6/365))*NORMSDIST(-((LN($A38/$D$13)+($E$6-$F$6+$G$13^2/2)*($G$6/365))/($G$13*SQRT($G$6/365))-$G$13*SQRT($G$6/365)))-$A38*EXP(-$F$6*($G$6/365))*NORMSDIST(-((LN($A38/$D$13)+($E$6-$F$6+$G$13^2/2)*($G$6/365))/($G$13*SQRT($G$6/365))))))))+$I$14</f>
        <v/>
      </c>
    </row>
    <row r="39">
      <c r="A39" s="53">
        <f>A38+$D$23</f>
        <v/>
      </c>
      <c r="B39" s="54">
        <f>IF($F$10=0,0,IF($B$10="Buy",1,-1)*(MAX(0,IF($C$10="Call",$A39-$D$10,$D$10-$A39))-$E$10)*$F$10*$H$6)</f>
        <v/>
      </c>
      <c r="C39" s="54">
        <f>IF($F$11=0,0,IF($B$11="Buy",1,-1)*(MAX(0,IF($C$11="Call",$A39-$D$11,$D$11-$A39))-$E$11)*$F$11*$H$6)</f>
        <v/>
      </c>
      <c r="D39" s="54">
        <f>IF($F$12=0,0,IF($B$12="Buy",1,-1)*(MAX(0,IF($C$12="Call",$A39-$D$12,$D$12-$A39))-$E$12)*$F$12*$H$6)</f>
        <v/>
      </c>
      <c r="E39" s="54">
        <f>IF($F$13=0,0,IF($B$13="Buy",1,-1)*(MAX(0,IF($C$13="Call",$A39-$D$13,$D$13-$A39))-$E$13)*$F$13*$H$6)</f>
        <v/>
      </c>
      <c r="F39" s="54">
        <f>SUM(B39:E39)</f>
        <v/>
      </c>
      <c r="G39" s="54">
        <f>N39</f>
        <v/>
      </c>
      <c r="H39" s="9" t="n">
        <v>0</v>
      </c>
      <c r="I39" s="55">
        <f>IF($D$19=0,0,F39/$D$19)</f>
        <v/>
      </c>
      <c r="K39" s="51">
        <f>IF($F$10=0,0,IF($B$10="Buy",1,-1)*$F$10*$H$6*IF($G$6&lt;=0,MAX(0,IF($C$10="Call",$A39-$D$10,$D$10-$A39)),IF($C$10="Call",$A39*EXP(-$F$6*($G$6/365))*NORMSDIST((LN($A39/$D$10)+($E$6-$F$6+$G$10^2/2)*($G$6/365))/($G$10*SQRT($G$6/365)))-$D$10*EXP(-$E$6*($G$6/365))*NORMSDIST((LN($A39/$D$10)+($E$6-$F$6+$G$10^2/2)*($G$6/365))/($G$10*SQRT($G$6/365))-$G$10*SQRT($G$6/365)),$D$10*EXP(-$E$6*($G$6/365))*NORMSDIST(-((LN($A39/$D$10)+($E$6-$F$6+$G$10^2/2)*($G$6/365))/($G$10*SQRT($G$6/365))-$G$10*SQRT($G$6/365)))-$A39*EXP(-$F$6*($G$6/365))*NORMSDIST(-((LN($A39/$D$10)+($E$6-$F$6+$G$10^2/2)*($G$6/365))/($G$10*SQRT($G$6/365)))))))</f>
        <v/>
      </c>
      <c r="L39" s="51">
        <f>IF($F$11=0,0,IF($B$11="Buy",1,-1)*$F$11*$H$6*IF($G$6&lt;=0,MAX(0,IF($C$11="Call",$A39-$D$11,$D$11-$A39)),IF($C$11="Call",$A39*EXP(-$F$6*($G$6/365))*NORMSDIST((LN($A39/$D$11)+($E$6-$F$6+$G$11^2/2)*($G$6/365))/($G$11*SQRT($G$6/365)))-$D$11*EXP(-$E$6*($G$6/365))*NORMSDIST((LN($A39/$D$11)+($E$6-$F$6+$G$11^2/2)*($G$6/365))/($G$11*SQRT($G$6/365))-$G$11*SQRT($G$6/365)),$D$11*EXP(-$E$6*($G$6/365))*NORMSDIST(-((LN($A39/$D$11)+($E$6-$F$6+$G$11^2/2)*($G$6/365))/($G$11*SQRT($G$6/365))-$G$11*SQRT($G$6/365)))-$A39*EXP(-$F$6*($G$6/365))*NORMSDIST(-((LN($A39/$D$11)+($E$6-$F$6+$G$11^2/2)*($G$6/365))/($G$11*SQRT($G$6/365)))))))</f>
        <v/>
      </c>
      <c r="M39" s="51">
        <f>IF($F$12=0,0,IF($B$12="Buy",1,-1)*$F$12*$H$6*IF($G$6&lt;=0,MAX(0,IF($C$12="Call",$A39-$D$12,$D$12-$A39)),IF($C$12="Call",$A39*EXP(-$F$6*($G$6/365))*NORMSDIST((LN($A39/$D$12)+($E$6-$F$6+$G$12^2/2)*($G$6/365))/($G$12*SQRT($G$6/365)))-$D$12*EXP(-$E$6*($G$6/365))*NORMSDIST((LN($A39/$D$12)+($E$6-$F$6+$G$12^2/2)*($G$6/365))/($G$12*SQRT($G$6/365))-$G$12*SQRT($G$6/365)),$D$12*EXP(-$E$6*($G$6/365))*NORMSDIST(-((LN($A39/$D$12)+($E$6-$F$6+$G$12^2/2)*($G$6/365))/($G$12*SQRT($G$6/365))-$G$12*SQRT($G$6/365)))-$A39*EXP(-$F$6*($G$6/365))*NORMSDIST(-((LN($A39/$D$12)+($E$6-$F$6+$G$12^2/2)*($G$6/365))/($G$12*SQRT($G$6/365)))))))</f>
        <v/>
      </c>
      <c r="N39" s="52">
        <f>K39+L39+M39+(IF($F$13=0,0,IF($B$13="Buy",1,-1)*$F$13*$H$6*IF($G$6&lt;=0,MAX(0,IF($C$13="Call",$A39-$D$13,$D$13-$A39)),IF($C$13="Call",$A39*EXP(-$F$6*($G$6/365))*NORMSDIST((LN($A39/$D$13)+($E$6-$F$6+$G$13^2/2)*($G$6/365))/($G$13*SQRT($G$6/365)))-$D$13*EXP(-$E$6*($G$6/365))*NORMSDIST((LN($A39/$D$13)+($E$6-$F$6+$G$13^2/2)*($G$6/365))/($G$13*SQRT($G$6/365))-$G$13*SQRT($G$6/365)),$D$13*EXP(-$E$6*($G$6/365))*NORMSDIST(-((LN($A39/$D$13)+($E$6-$F$6+$G$13^2/2)*($G$6/365))/($G$13*SQRT($G$6/365))-$G$13*SQRT($G$6/365)))-$A39*EXP(-$F$6*($G$6/365))*NORMSDIST(-((LN($A39/$D$13)+($E$6-$F$6+$G$13^2/2)*($G$6/365))/($G$13*SQRT($G$6/365))))))))+$I$14</f>
        <v/>
      </c>
    </row>
    <row r="40">
      <c r="A40" s="48">
        <f>A39+$D$23</f>
        <v/>
      </c>
      <c r="B40" s="49">
        <f>IF($F$10=0,0,IF($B$10="Buy",1,-1)*(MAX(0,IF($C$10="Call",$A40-$D$10,$D$10-$A40))-$E$10)*$F$10*$H$6)</f>
        <v/>
      </c>
      <c r="C40" s="49">
        <f>IF($F$11=0,0,IF($B$11="Buy",1,-1)*(MAX(0,IF($C$11="Call",$A40-$D$11,$D$11-$A40))-$E$11)*$F$11*$H$6)</f>
        <v/>
      </c>
      <c r="D40" s="49">
        <f>IF($F$12=0,0,IF($B$12="Buy",1,-1)*(MAX(0,IF($C$12="Call",$A40-$D$12,$D$12-$A40))-$E$12)*$F$12*$H$6)</f>
        <v/>
      </c>
      <c r="E40" s="49">
        <f>IF($F$13=0,0,IF($B$13="Buy",1,-1)*(MAX(0,IF($C$13="Call",$A40-$D$13,$D$13-$A40))-$E$13)*$F$13*$H$6)</f>
        <v/>
      </c>
      <c r="F40" s="49">
        <f>SUM(B40:E40)</f>
        <v/>
      </c>
      <c r="G40" s="49">
        <f>N40</f>
        <v/>
      </c>
      <c r="H40" s="6" t="n">
        <v>0</v>
      </c>
      <c r="I40" s="50">
        <f>IF($D$19=0,0,F40/$D$19)</f>
        <v/>
      </c>
      <c r="K40" s="51">
        <f>IF($F$10=0,0,IF($B$10="Buy",1,-1)*$F$10*$H$6*IF($G$6&lt;=0,MAX(0,IF($C$10="Call",$A40-$D$10,$D$10-$A40)),IF($C$10="Call",$A40*EXP(-$F$6*($G$6/365))*NORMSDIST((LN($A40/$D$10)+($E$6-$F$6+$G$10^2/2)*($G$6/365))/($G$10*SQRT($G$6/365)))-$D$10*EXP(-$E$6*($G$6/365))*NORMSDIST((LN($A40/$D$10)+($E$6-$F$6+$G$10^2/2)*($G$6/365))/($G$10*SQRT($G$6/365))-$G$10*SQRT($G$6/365)),$D$10*EXP(-$E$6*($G$6/365))*NORMSDIST(-((LN($A40/$D$10)+($E$6-$F$6+$G$10^2/2)*($G$6/365))/($G$10*SQRT($G$6/365))-$G$10*SQRT($G$6/365)))-$A40*EXP(-$F$6*($G$6/365))*NORMSDIST(-((LN($A40/$D$10)+($E$6-$F$6+$G$10^2/2)*($G$6/365))/($G$10*SQRT($G$6/365)))))))</f>
        <v/>
      </c>
      <c r="L40" s="51">
        <f>IF($F$11=0,0,IF($B$11="Buy",1,-1)*$F$11*$H$6*IF($G$6&lt;=0,MAX(0,IF($C$11="Call",$A40-$D$11,$D$11-$A40)),IF($C$11="Call",$A40*EXP(-$F$6*($G$6/365))*NORMSDIST((LN($A40/$D$11)+($E$6-$F$6+$G$11^2/2)*($G$6/365))/($G$11*SQRT($G$6/365)))-$D$11*EXP(-$E$6*($G$6/365))*NORMSDIST((LN($A40/$D$11)+($E$6-$F$6+$G$11^2/2)*($G$6/365))/($G$11*SQRT($G$6/365))-$G$11*SQRT($G$6/365)),$D$11*EXP(-$E$6*($G$6/365))*NORMSDIST(-((LN($A40/$D$11)+($E$6-$F$6+$G$11^2/2)*($G$6/365))/($G$11*SQRT($G$6/365))-$G$11*SQRT($G$6/365)))-$A40*EXP(-$F$6*($G$6/365))*NORMSDIST(-((LN($A40/$D$11)+($E$6-$F$6+$G$11^2/2)*($G$6/365))/($G$11*SQRT($G$6/365)))))))</f>
        <v/>
      </c>
      <c r="M40" s="51">
        <f>IF($F$12=0,0,IF($B$12="Buy",1,-1)*$F$12*$H$6*IF($G$6&lt;=0,MAX(0,IF($C$12="Call",$A40-$D$12,$D$12-$A40)),IF($C$12="Call",$A40*EXP(-$F$6*($G$6/365))*NORMSDIST((LN($A40/$D$12)+($E$6-$F$6+$G$12^2/2)*($G$6/365))/($G$12*SQRT($G$6/365)))-$D$12*EXP(-$E$6*($G$6/365))*NORMSDIST((LN($A40/$D$12)+($E$6-$F$6+$G$12^2/2)*($G$6/365))/($G$12*SQRT($G$6/365))-$G$12*SQRT($G$6/365)),$D$12*EXP(-$E$6*($G$6/365))*NORMSDIST(-((LN($A40/$D$12)+($E$6-$F$6+$G$12^2/2)*($G$6/365))/($G$12*SQRT($G$6/365))-$G$12*SQRT($G$6/365)))-$A40*EXP(-$F$6*($G$6/365))*NORMSDIST(-((LN($A40/$D$12)+($E$6-$F$6+$G$12^2/2)*($G$6/365))/($G$12*SQRT($G$6/365)))))))</f>
        <v/>
      </c>
      <c r="N40" s="52">
        <f>K40+L40+M40+(IF($F$13=0,0,IF($B$13="Buy",1,-1)*$F$13*$H$6*IF($G$6&lt;=0,MAX(0,IF($C$13="Call",$A40-$D$13,$D$13-$A40)),IF($C$13="Call",$A40*EXP(-$F$6*($G$6/365))*NORMSDIST((LN($A40/$D$13)+($E$6-$F$6+$G$13^2/2)*($G$6/365))/($G$13*SQRT($G$6/365)))-$D$13*EXP(-$E$6*($G$6/365))*NORMSDIST((LN($A40/$D$13)+($E$6-$F$6+$G$13^2/2)*($G$6/365))/($G$13*SQRT($G$6/365))-$G$13*SQRT($G$6/365)),$D$13*EXP(-$E$6*($G$6/365))*NORMSDIST(-((LN($A40/$D$13)+($E$6-$F$6+$G$13^2/2)*($G$6/365))/($G$13*SQRT($G$6/365))-$G$13*SQRT($G$6/365)))-$A40*EXP(-$F$6*($G$6/365))*NORMSDIST(-((LN($A40/$D$13)+($E$6-$F$6+$G$13^2/2)*($G$6/365))/($G$13*SQRT($G$6/365))))))))+$I$14</f>
        <v/>
      </c>
    </row>
    <row r="41">
      <c r="A41" s="53">
        <f>A40+$D$23</f>
        <v/>
      </c>
      <c r="B41" s="54">
        <f>IF($F$10=0,0,IF($B$10="Buy",1,-1)*(MAX(0,IF($C$10="Call",$A41-$D$10,$D$10-$A41))-$E$10)*$F$10*$H$6)</f>
        <v/>
      </c>
      <c r="C41" s="54">
        <f>IF($F$11=0,0,IF($B$11="Buy",1,-1)*(MAX(0,IF($C$11="Call",$A41-$D$11,$D$11-$A41))-$E$11)*$F$11*$H$6)</f>
        <v/>
      </c>
      <c r="D41" s="54">
        <f>IF($F$12=0,0,IF($B$12="Buy",1,-1)*(MAX(0,IF($C$12="Call",$A41-$D$12,$D$12-$A41))-$E$12)*$F$12*$H$6)</f>
        <v/>
      </c>
      <c r="E41" s="54">
        <f>IF($F$13=0,0,IF($B$13="Buy",1,-1)*(MAX(0,IF($C$13="Call",$A41-$D$13,$D$13-$A41))-$E$13)*$F$13*$H$6)</f>
        <v/>
      </c>
      <c r="F41" s="54">
        <f>SUM(B41:E41)</f>
        <v/>
      </c>
      <c r="G41" s="54">
        <f>N41</f>
        <v/>
      </c>
      <c r="H41" s="9" t="n">
        <v>0</v>
      </c>
      <c r="I41" s="55">
        <f>IF($D$19=0,0,F41/$D$19)</f>
        <v/>
      </c>
      <c r="K41" s="51">
        <f>IF($F$10=0,0,IF($B$10="Buy",1,-1)*$F$10*$H$6*IF($G$6&lt;=0,MAX(0,IF($C$10="Call",$A41-$D$10,$D$10-$A41)),IF($C$10="Call",$A41*EXP(-$F$6*($G$6/365))*NORMSDIST((LN($A41/$D$10)+($E$6-$F$6+$G$10^2/2)*($G$6/365))/($G$10*SQRT($G$6/365)))-$D$10*EXP(-$E$6*($G$6/365))*NORMSDIST((LN($A41/$D$10)+($E$6-$F$6+$G$10^2/2)*($G$6/365))/($G$10*SQRT($G$6/365))-$G$10*SQRT($G$6/365)),$D$10*EXP(-$E$6*($G$6/365))*NORMSDIST(-((LN($A41/$D$10)+($E$6-$F$6+$G$10^2/2)*($G$6/365))/($G$10*SQRT($G$6/365))-$G$10*SQRT($G$6/365)))-$A41*EXP(-$F$6*($G$6/365))*NORMSDIST(-((LN($A41/$D$10)+($E$6-$F$6+$G$10^2/2)*($G$6/365))/($G$10*SQRT($G$6/365)))))))</f>
        <v/>
      </c>
      <c r="L41" s="51">
        <f>IF($F$11=0,0,IF($B$11="Buy",1,-1)*$F$11*$H$6*IF($G$6&lt;=0,MAX(0,IF($C$11="Call",$A41-$D$11,$D$11-$A41)),IF($C$11="Call",$A41*EXP(-$F$6*($G$6/365))*NORMSDIST((LN($A41/$D$11)+($E$6-$F$6+$G$11^2/2)*($G$6/365))/($G$11*SQRT($G$6/365)))-$D$11*EXP(-$E$6*($G$6/365))*NORMSDIST((LN($A41/$D$11)+($E$6-$F$6+$G$11^2/2)*($G$6/365))/($G$11*SQRT($G$6/365))-$G$11*SQRT($G$6/365)),$D$11*EXP(-$E$6*($G$6/365))*NORMSDIST(-((LN($A41/$D$11)+($E$6-$F$6+$G$11^2/2)*($G$6/365))/($G$11*SQRT($G$6/365))-$G$11*SQRT($G$6/365)))-$A41*EXP(-$F$6*($G$6/365))*NORMSDIST(-((LN($A41/$D$11)+($E$6-$F$6+$G$11^2/2)*($G$6/365))/($G$11*SQRT($G$6/365)))))))</f>
        <v/>
      </c>
      <c r="M41" s="51">
        <f>IF($F$12=0,0,IF($B$12="Buy",1,-1)*$F$12*$H$6*IF($G$6&lt;=0,MAX(0,IF($C$12="Call",$A41-$D$12,$D$12-$A41)),IF($C$12="Call",$A41*EXP(-$F$6*($G$6/365))*NORMSDIST((LN($A41/$D$12)+($E$6-$F$6+$G$12^2/2)*($G$6/365))/($G$12*SQRT($G$6/365)))-$D$12*EXP(-$E$6*($G$6/365))*NORMSDIST((LN($A41/$D$12)+($E$6-$F$6+$G$12^2/2)*($G$6/365))/($G$12*SQRT($G$6/365))-$G$12*SQRT($G$6/365)),$D$12*EXP(-$E$6*($G$6/365))*NORMSDIST(-((LN($A41/$D$12)+($E$6-$F$6+$G$12^2/2)*($G$6/365))/($G$12*SQRT($G$6/365))-$G$12*SQRT($G$6/365)))-$A41*EXP(-$F$6*($G$6/365))*NORMSDIST(-((LN($A41/$D$12)+($E$6-$F$6+$G$12^2/2)*($G$6/365))/($G$12*SQRT($G$6/365)))))))</f>
        <v/>
      </c>
      <c r="N41" s="52">
        <f>K41+L41+M41+(IF($F$13=0,0,IF($B$13="Buy",1,-1)*$F$13*$H$6*IF($G$6&lt;=0,MAX(0,IF($C$13="Call",$A41-$D$13,$D$13-$A41)),IF($C$13="Call",$A41*EXP(-$F$6*($G$6/365))*NORMSDIST((LN($A41/$D$13)+($E$6-$F$6+$G$13^2/2)*($G$6/365))/($G$13*SQRT($G$6/365)))-$D$13*EXP(-$E$6*($G$6/365))*NORMSDIST((LN($A41/$D$13)+($E$6-$F$6+$G$13^2/2)*($G$6/365))/($G$13*SQRT($G$6/365))-$G$13*SQRT($G$6/365)),$D$13*EXP(-$E$6*($G$6/365))*NORMSDIST(-((LN($A41/$D$13)+($E$6-$F$6+$G$13^2/2)*($G$6/365))/($G$13*SQRT($G$6/365))-$G$13*SQRT($G$6/365)))-$A41*EXP(-$F$6*($G$6/365))*NORMSDIST(-((LN($A41/$D$13)+($E$6-$F$6+$G$13^2/2)*($G$6/365))/($G$13*SQRT($G$6/365))))))))+$I$14</f>
        <v/>
      </c>
    </row>
    <row r="42">
      <c r="A42" s="48">
        <f>A41+$D$23</f>
        <v/>
      </c>
      <c r="B42" s="49">
        <f>IF($F$10=0,0,IF($B$10="Buy",1,-1)*(MAX(0,IF($C$10="Call",$A42-$D$10,$D$10-$A42))-$E$10)*$F$10*$H$6)</f>
        <v/>
      </c>
      <c r="C42" s="49">
        <f>IF($F$11=0,0,IF($B$11="Buy",1,-1)*(MAX(0,IF($C$11="Call",$A42-$D$11,$D$11-$A42))-$E$11)*$F$11*$H$6)</f>
        <v/>
      </c>
      <c r="D42" s="49">
        <f>IF($F$12=0,0,IF($B$12="Buy",1,-1)*(MAX(0,IF($C$12="Call",$A42-$D$12,$D$12-$A42))-$E$12)*$F$12*$H$6)</f>
        <v/>
      </c>
      <c r="E42" s="49">
        <f>IF($F$13=0,0,IF($B$13="Buy",1,-1)*(MAX(0,IF($C$13="Call",$A42-$D$13,$D$13-$A42))-$E$13)*$F$13*$H$6)</f>
        <v/>
      </c>
      <c r="F42" s="49">
        <f>SUM(B42:E42)</f>
        <v/>
      </c>
      <c r="G42" s="49">
        <f>N42</f>
        <v/>
      </c>
      <c r="H42" s="6" t="n">
        <v>0</v>
      </c>
      <c r="I42" s="50">
        <f>IF($D$19=0,0,F42/$D$19)</f>
        <v/>
      </c>
      <c r="K42" s="51">
        <f>IF($F$10=0,0,IF($B$10="Buy",1,-1)*$F$10*$H$6*IF($G$6&lt;=0,MAX(0,IF($C$10="Call",$A42-$D$10,$D$10-$A42)),IF($C$10="Call",$A42*EXP(-$F$6*($G$6/365))*NORMSDIST((LN($A42/$D$10)+($E$6-$F$6+$G$10^2/2)*($G$6/365))/($G$10*SQRT($G$6/365)))-$D$10*EXP(-$E$6*($G$6/365))*NORMSDIST((LN($A42/$D$10)+($E$6-$F$6+$G$10^2/2)*($G$6/365))/($G$10*SQRT($G$6/365))-$G$10*SQRT($G$6/365)),$D$10*EXP(-$E$6*($G$6/365))*NORMSDIST(-((LN($A42/$D$10)+($E$6-$F$6+$G$10^2/2)*($G$6/365))/($G$10*SQRT($G$6/365))-$G$10*SQRT($G$6/365)))-$A42*EXP(-$F$6*($G$6/365))*NORMSDIST(-((LN($A42/$D$10)+($E$6-$F$6+$G$10^2/2)*($G$6/365))/($G$10*SQRT($G$6/365)))))))</f>
        <v/>
      </c>
      <c r="L42" s="51">
        <f>IF($F$11=0,0,IF($B$11="Buy",1,-1)*$F$11*$H$6*IF($G$6&lt;=0,MAX(0,IF($C$11="Call",$A42-$D$11,$D$11-$A42)),IF($C$11="Call",$A42*EXP(-$F$6*($G$6/365))*NORMSDIST((LN($A42/$D$11)+($E$6-$F$6+$G$11^2/2)*($G$6/365))/($G$11*SQRT($G$6/365)))-$D$11*EXP(-$E$6*($G$6/365))*NORMSDIST((LN($A42/$D$11)+($E$6-$F$6+$G$11^2/2)*($G$6/365))/($G$11*SQRT($G$6/365))-$G$11*SQRT($G$6/365)),$D$11*EXP(-$E$6*($G$6/365))*NORMSDIST(-((LN($A42/$D$11)+($E$6-$F$6+$G$11^2/2)*($G$6/365))/($G$11*SQRT($G$6/365))-$G$11*SQRT($G$6/365)))-$A42*EXP(-$F$6*($G$6/365))*NORMSDIST(-((LN($A42/$D$11)+($E$6-$F$6+$G$11^2/2)*($G$6/365))/($G$11*SQRT($G$6/365)))))))</f>
        <v/>
      </c>
      <c r="M42" s="51">
        <f>IF($F$12=0,0,IF($B$12="Buy",1,-1)*$F$12*$H$6*IF($G$6&lt;=0,MAX(0,IF($C$12="Call",$A42-$D$12,$D$12-$A42)),IF($C$12="Call",$A42*EXP(-$F$6*($G$6/365))*NORMSDIST((LN($A42/$D$12)+($E$6-$F$6+$G$12^2/2)*($G$6/365))/($G$12*SQRT($G$6/365)))-$D$12*EXP(-$E$6*($G$6/365))*NORMSDIST((LN($A42/$D$12)+($E$6-$F$6+$G$12^2/2)*($G$6/365))/($G$12*SQRT($G$6/365))-$G$12*SQRT($G$6/365)),$D$12*EXP(-$E$6*($G$6/365))*NORMSDIST(-((LN($A42/$D$12)+($E$6-$F$6+$G$12^2/2)*($G$6/365))/($G$12*SQRT($G$6/365))-$G$12*SQRT($G$6/365)))-$A42*EXP(-$F$6*($G$6/365))*NORMSDIST(-((LN($A42/$D$12)+($E$6-$F$6+$G$12^2/2)*($G$6/365))/($G$12*SQRT($G$6/365)))))))</f>
        <v/>
      </c>
      <c r="N42" s="52">
        <f>K42+L42+M42+(IF($F$13=0,0,IF($B$13="Buy",1,-1)*$F$13*$H$6*IF($G$6&lt;=0,MAX(0,IF($C$13="Call",$A42-$D$13,$D$13-$A42)),IF($C$13="Call",$A42*EXP(-$F$6*($G$6/365))*NORMSDIST((LN($A42/$D$13)+($E$6-$F$6+$G$13^2/2)*($G$6/365))/($G$13*SQRT($G$6/365)))-$D$13*EXP(-$E$6*($G$6/365))*NORMSDIST((LN($A42/$D$13)+($E$6-$F$6+$G$13^2/2)*($G$6/365))/($G$13*SQRT($G$6/365))-$G$13*SQRT($G$6/365)),$D$13*EXP(-$E$6*($G$6/365))*NORMSDIST(-((LN($A42/$D$13)+($E$6-$F$6+$G$13^2/2)*($G$6/365))/($G$13*SQRT($G$6/365))-$G$13*SQRT($G$6/365)))-$A42*EXP(-$F$6*($G$6/365))*NORMSDIST(-((LN($A42/$D$13)+($E$6-$F$6+$G$13^2/2)*($G$6/365))/($G$13*SQRT($G$6/365))))))))+$I$14</f>
        <v/>
      </c>
    </row>
    <row r="43">
      <c r="A43" s="53">
        <f>A42+$D$23</f>
        <v/>
      </c>
      <c r="B43" s="54">
        <f>IF($F$10=0,0,IF($B$10="Buy",1,-1)*(MAX(0,IF($C$10="Call",$A43-$D$10,$D$10-$A43))-$E$10)*$F$10*$H$6)</f>
        <v/>
      </c>
      <c r="C43" s="54">
        <f>IF($F$11=0,0,IF($B$11="Buy",1,-1)*(MAX(0,IF($C$11="Call",$A43-$D$11,$D$11-$A43))-$E$11)*$F$11*$H$6)</f>
        <v/>
      </c>
      <c r="D43" s="54">
        <f>IF($F$12=0,0,IF($B$12="Buy",1,-1)*(MAX(0,IF($C$12="Call",$A43-$D$12,$D$12-$A43))-$E$12)*$F$12*$H$6)</f>
        <v/>
      </c>
      <c r="E43" s="54">
        <f>IF($F$13=0,0,IF($B$13="Buy",1,-1)*(MAX(0,IF($C$13="Call",$A43-$D$13,$D$13-$A43))-$E$13)*$F$13*$H$6)</f>
        <v/>
      </c>
      <c r="F43" s="54">
        <f>SUM(B43:E43)</f>
        <v/>
      </c>
      <c r="G43" s="54">
        <f>N43</f>
        <v/>
      </c>
      <c r="H43" s="9" t="n">
        <v>0</v>
      </c>
      <c r="I43" s="55">
        <f>IF($D$19=0,0,F43/$D$19)</f>
        <v/>
      </c>
      <c r="K43" s="51">
        <f>IF($F$10=0,0,IF($B$10="Buy",1,-1)*$F$10*$H$6*IF($G$6&lt;=0,MAX(0,IF($C$10="Call",$A43-$D$10,$D$10-$A43)),IF($C$10="Call",$A43*EXP(-$F$6*($G$6/365))*NORMSDIST((LN($A43/$D$10)+($E$6-$F$6+$G$10^2/2)*($G$6/365))/($G$10*SQRT($G$6/365)))-$D$10*EXP(-$E$6*($G$6/365))*NORMSDIST((LN($A43/$D$10)+($E$6-$F$6+$G$10^2/2)*($G$6/365))/($G$10*SQRT($G$6/365))-$G$10*SQRT($G$6/365)),$D$10*EXP(-$E$6*($G$6/365))*NORMSDIST(-((LN($A43/$D$10)+($E$6-$F$6+$G$10^2/2)*($G$6/365))/($G$10*SQRT($G$6/365))-$G$10*SQRT($G$6/365)))-$A43*EXP(-$F$6*($G$6/365))*NORMSDIST(-((LN($A43/$D$10)+($E$6-$F$6+$G$10^2/2)*($G$6/365))/($G$10*SQRT($G$6/365)))))))</f>
        <v/>
      </c>
      <c r="L43" s="51">
        <f>IF($F$11=0,0,IF($B$11="Buy",1,-1)*$F$11*$H$6*IF($G$6&lt;=0,MAX(0,IF($C$11="Call",$A43-$D$11,$D$11-$A43)),IF($C$11="Call",$A43*EXP(-$F$6*($G$6/365))*NORMSDIST((LN($A43/$D$11)+($E$6-$F$6+$G$11^2/2)*($G$6/365))/($G$11*SQRT($G$6/365)))-$D$11*EXP(-$E$6*($G$6/365))*NORMSDIST((LN($A43/$D$11)+($E$6-$F$6+$G$11^2/2)*($G$6/365))/($G$11*SQRT($G$6/365))-$G$11*SQRT($G$6/365)),$D$11*EXP(-$E$6*($G$6/365))*NORMSDIST(-((LN($A43/$D$11)+($E$6-$F$6+$G$11^2/2)*($G$6/365))/($G$11*SQRT($G$6/365))-$G$11*SQRT($G$6/365)))-$A43*EXP(-$F$6*($G$6/365))*NORMSDIST(-((LN($A43/$D$11)+($E$6-$F$6+$G$11^2/2)*($G$6/365))/($G$11*SQRT($G$6/365)))))))</f>
        <v/>
      </c>
      <c r="M43" s="51">
        <f>IF($F$12=0,0,IF($B$12="Buy",1,-1)*$F$12*$H$6*IF($G$6&lt;=0,MAX(0,IF($C$12="Call",$A43-$D$12,$D$12-$A43)),IF($C$12="Call",$A43*EXP(-$F$6*($G$6/365))*NORMSDIST((LN($A43/$D$12)+($E$6-$F$6+$G$12^2/2)*($G$6/365))/($G$12*SQRT($G$6/365)))-$D$12*EXP(-$E$6*($G$6/365))*NORMSDIST((LN($A43/$D$12)+($E$6-$F$6+$G$12^2/2)*($G$6/365))/($G$12*SQRT($G$6/365))-$G$12*SQRT($G$6/365)),$D$12*EXP(-$E$6*($G$6/365))*NORMSDIST(-((LN($A43/$D$12)+($E$6-$F$6+$G$12^2/2)*($G$6/365))/($G$12*SQRT($G$6/365))-$G$12*SQRT($G$6/365)))-$A43*EXP(-$F$6*($G$6/365))*NORMSDIST(-((LN($A43/$D$12)+($E$6-$F$6+$G$12^2/2)*($G$6/365))/($G$12*SQRT($G$6/365)))))))</f>
        <v/>
      </c>
      <c r="N43" s="52">
        <f>K43+L43+M43+(IF($F$13=0,0,IF($B$13="Buy",1,-1)*$F$13*$H$6*IF($G$6&lt;=0,MAX(0,IF($C$13="Call",$A43-$D$13,$D$13-$A43)),IF($C$13="Call",$A43*EXP(-$F$6*($G$6/365))*NORMSDIST((LN($A43/$D$13)+($E$6-$F$6+$G$13^2/2)*($G$6/365))/($G$13*SQRT($G$6/365)))-$D$13*EXP(-$E$6*($G$6/365))*NORMSDIST((LN($A43/$D$13)+($E$6-$F$6+$G$13^2/2)*($G$6/365))/($G$13*SQRT($G$6/365))-$G$13*SQRT($G$6/365)),$D$13*EXP(-$E$6*($G$6/365))*NORMSDIST(-((LN($A43/$D$13)+($E$6-$F$6+$G$13^2/2)*($G$6/365))/($G$13*SQRT($G$6/365))-$G$13*SQRT($G$6/365)))-$A43*EXP(-$F$6*($G$6/365))*NORMSDIST(-((LN($A43/$D$13)+($E$6-$F$6+$G$13^2/2)*($G$6/365))/($G$13*SQRT($G$6/365))))))))+$I$14</f>
        <v/>
      </c>
    </row>
    <row r="44">
      <c r="A44" s="48">
        <f>A43+$D$23</f>
        <v/>
      </c>
      <c r="B44" s="49">
        <f>IF($F$10=0,0,IF($B$10="Buy",1,-1)*(MAX(0,IF($C$10="Call",$A44-$D$10,$D$10-$A44))-$E$10)*$F$10*$H$6)</f>
        <v/>
      </c>
      <c r="C44" s="49">
        <f>IF($F$11=0,0,IF($B$11="Buy",1,-1)*(MAX(0,IF($C$11="Call",$A44-$D$11,$D$11-$A44))-$E$11)*$F$11*$H$6)</f>
        <v/>
      </c>
      <c r="D44" s="49">
        <f>IF($F$12=0,0,IF($B$12="Buy",1,-1)*(MAX(0,IF($C$12="Call",$A44-$D$12,$D$12-$A44))-$E$12)*$F$12*$H$6)</f>
        <v/>
      </c>
      <c r="E44" s="49">
        <f>IF($F$13=0,0,IF($B$13="Buy",1,-1)*(MAX(0,IF($C$13="Call",$A44-$D$13,$D$13-$A44))-$E$13)*$F$13*$H$6)</f>
        <v/>
      </c>
      <c r="F44" s="49">
        <f>SUM(B44:E44)</f>
        <v/>
      </c>
      <c r="G44" s="49">
        <f>N44</f>
        <v/>
      </c>
      <c r="H44" s="6" t="n">
        <v>0</v>
      </c>
      <c r="I44" s="50">
        <f>IF($D$19=0,0,F44/$D$19)</f>
        <v/>
      </c>
      <c r="K44" s="51">
        <f>IF($F$10=0,0,IF($B$10="Buy",1,-1)*$F$10*$H$6*IF($G$6&lt;=0,MAX(0,IF($C$10="Call",$A44-$D$10,$D$10-$A44)),IF($C$10="Call",$A44*EXP(-$F$6*($G$6/365))*NORMSDIST((LN($A44/$D$10)+($E$6-$F$6+$G$10^2/2)*($G$6/365))/($G$10*SQRT($G$6/365)))-$D$10*EXP(-$E$6*($G$6/365))*NORMSDIST((LN($A44/$D$10)+($E$6-$F$6+$G$10^2/2)*($G$6/365))/($G$10*SQRT($G$6/365))-$G$10*SQRT($G$6/365)),$D$10*EXP(-$E$6*($G$6/365))*NORMSDIST(-((LN($A44/$D$10)+($E$6-$F$6+$G$10^2/2)*($G$6/365))/($G$10*SQRT($G$6/365))-$G$10*SQRT($G$6/365)))-$A44*EXP(-$F$6*($G$6/365))*NORMSDIST(-((LN($A44/$D$10)+($E$6-$F$6+$G$10^2/2)*($G$6/365))/($G$10*SQRT($G$6/365)))))))</f>
        <v/>
      </c>
      <c r="L44" s="51">
        <f>IF($F$11=0,0,IF($B$11="Buy",1,-1)*$F$11*$H$6*IF($G$6&lt;=0,MAX(0,IF($C$11="Call",$A44-$D$11,$D$11-$A44)),IF($C$11="Call",$A44*EXP(-$F$6*($G$6/365))*NORMSDIST((LN($A44/$D$11)+($E$6-$F$6+$G$11^2/2)*($G$6/365))/($G$11*SQRT($G$6/365)))-$D$11*EXP(-$E$6*($G$6/365))*NORMSDIST((LN($A44/$D$11)+($E$6-$F$6+$G$11^2/2)*($G$6/365))/($G$11*SQRT($G$6/365))-$G$11*SQRT($G$6/365)),$D$11*EXP(-$E$6*($G$6/365))*NORMSDIST(-((LN($A44/$D$11)+($E$6-$F$6+$G$11^2/2)*($G$6/365))/($G$11*SQRT($G$6/365))-$G$11*SQRT($G$6/365)))-$A44*EXP(-$F$6*($G$6/365))*NORMSDIST(-((LN($A44/$D$11)+($E$6-$F$6+$G$11^2/2)*($G$6/365))/($G$11*SQRT($G$6/365)))))))</f>
        <v/>
      </c>
      <c r="M44" s="51">
        <f>IF($F$12=0,0,IF($B$12="Buy",1,-1)*$F$12*$H$6*IF($G$6&lt;=0,MAX(0,IF($C$12="Call",$A44-$D$12,$D$12-$A44)),IF($C$12="Call",$A44*EXP(-$F$6*($G$6/365))*NORMSDIST((LN($A44/$D$12)+($E$6-$F$6+$G$12^2/2)*($G$6/365))/($G$12*SQRT($G$6/365)))-$D$12*EXP(-$E$6*($G$6/365))*NORMSDIST((LN($A44/$D$12)+($E$6-$F$6+$G$12^2/2)*($G$6/365))/($G$12*SQRT($G$6/365))-$G$12*SQRT($G$6/365)),$D$12*EXP(-$E$6*($G$6/365))*NORMSDIST(-((LN($A44/$D$12)+($E$6-$F$6+$G$12^2/2)*($G$6/365))/($G$12*SQRT($G$6/365))-$G$12*SQRT($G$6/365)))-$A44*EXP(-$F$6*($G$6/365))*NORMSDIST(-((LN($A44/$D$12)+($E$6-$F$6+$G$12^2/2)*($G$6/365))/($G$12*SQRT($G$6/365)))))))</f>
        <v/>
      </c>
      <c r="N44" s="52">
        <f>K44+L44+M44+(IF($F$13=0,0,IF($B$13="Buy",1,-1)*$F$13*$H$6*IF($G$6&lt;=0,MAX(0,IF($C$13="Call",$A44-$D$13,$D$13-$A44)),IF($C$13="Call",$A44*EXP(-$F$6*($G$6/365))*NORMSDIST((LN($A44/$D$13)+($E$6-$F$6+$G$13^2/2)*($G$6/365))/($G$13*SQRT($G$6/365)))-$D$13*EXP(-$E$6*($G$6/365))*NORMSDIST((LN($A44/$D$13)+($E$6-$F$6+$G$13^2/2)*($G$6/365))/($G$13*SQRT($G$6/365))-$G$13*SQRT($G$6/365)),$D$13*EXP(-$E$6*($G$6/365))*NORMSDIST(-((LN($A44/$D$13)+($E$6-$F$6+$G$13^2/2)*($G$6/365))/($G$13*SQRT($G$6/365))-$G$13*SQRT($G$6/365)))-$A44*EXP(-$F$6*($G$6/365))*NORMSDIST(-((LN($A44/$D$13)+($E$6-$F$6+$G$13^2/2)*($G$6/365))/($G$13*SQRT($G$6/365))))))))+$I$14</f>
        <v/>
      </c>
    </row>
    <row r="45">
      <c r="A45" s="53">
        <f>A44+$D$23</f>
        <v/>
      </c>
      <c r="B45" s="54">
        <f>IF($F$10=0,0,IF($B$10="Buy",1,-1)*(MAX(0,IF($C$10="Call",$A45-$D$10,$D$10-$A45))-$E$10)*$F$10*$H$6)</f>
        <v/>
      </c>
      <c r="C45" s="54">
        <f>IF($F$11=0,0,IF($B$11="Buy",1,-1)*(MAX(0,IF($C$11="Call",$A45-$D$11,$D$11-$A45))-$E$11)*$F$11*$H$6)</f>
        <v/>
      </c>
      <c r="D45" s="54">
        <f>IF($F$12=0,0,IF($B$12="Buy",1,-1)*(MAX(0,IF($C$12="Call",$A45-$D$12,$D$12-$A45))-$E$12)*$F$12*$H$6)</f>
        <v/>
      </c>
      <c r="E45" s="54">
        <f>IF($F$13=0,0,IF($B$13="Buy",1,-1)*(MAX(0,IF($C$13="Call",$A45-$D$13,$D$13-$A45))-$E$13)*$F$13*$H$6)</f>
        <v/>
      </c>
      <c r="F45" s="54">
        <f>SUM(B45:E45)</f>
        <v/>
      </c>
      <c r="G45" s="54">
        <f>N45</f>
        <v/>
      </c>
      <c r="H45" s="9" t="n">
        <v>0</v>
      </c>
      <c r="I45" s="55">
        <f>IF($D$19=0,0,F45/$D$19)</f>
        <v/>
      </c>
      <c r="K45" s="51">
        <f>IF($F$10=0,0,IF($B$10="Buy",1,-1)*$F$10*$H$6*IF($G$6&lt;=0,MAX(0,IF($C$10="Call",$A45-$D$10,$D$10-$A45)),IF($C$10="Call",$A45*EXP(-$F$6*($G$6/365))*NORMSDIST((LN($A45/$D$10)+($E$6-$F$6+$G$10^2/2)*($G$6/365))/($G$10*SQRT($G$6/365)))-$D$10*EXP(-$E$6*($G$6/365))*NORMSDIST((LN($A45/$D$10)+($E$6-$F$6+$G$10^2/2)*($G$6/365))/($G$10*SQRT($G$6/365))-$G$10*SQRT($G$6/365)),$D$10*EXP(-$E$6*($G$6/365))*NORMSDIST(-((LN($A45/$D$10)+($E$6-$F$6+$G$10^2/2)*($G$6/365))/($G$10*SQRT($G$6/365))-$G$10*SQRT($G$6/365)))-$A45*EXP(-$F$6*($G$6/365))*NORMSDIST(-((LN($A45/$D$10)+($E$6-$F$6+$G$10^2/2)*($G$6/365))/($G$10*SQRT($G$6/365)))))))</f>
        <v/>
      </c>
      <c r="L45" s="51">
        <f>IF($F$11=0,0,IF($B$11="Buy",1,-1)*$F$11*$H$6*IF($G$6&lt;=0,MAX(0,IF($C$11="Call",$A45-$D$11,$D$11-$A45)),IF($C$11="Call",$A45*EXP(-$F$6*($G$6/365))*NORMSDIST((LN($A45/$D$11)+($E$6-$F$6+$G$11^2/2)*($G$6/365))/($G$11*SQRT($G$6/365)))-$D$11*EXP(-$E$6*($G$6/365))*NORMSDIST((LN($A45/$D$11)+($E$6-$F$6+$G$11^2/2)*($G$6/365))/($G$11*SQRT($G$6/365))-$G$11*SQRT($G$6/365)),$D$11*EXP(-$E$6*($G$6/365))*NORMSDIST(-((LN($A45/$D$11)+($E$6-$F$6+$G$11^2/2)*($G$6/365))/($G$11*SQRT($G$6/365))-$G$11*SQRT($G$6/365)))-$A45*EXP(-$F$6*($G$6/365))*NORMSDIST(-((LN($A45/$D$11)+($E$6-$F$6+$G$11^2/2)*($G$6/365))/($G$11*SQRT($G$6/365)))))))</f>
        <v/>
      </c>
      <c r="M45" s="51">
        <f>IF($F$12=0,0,IF($B$12="Buy",1,-1)*$F$12*$H$6*IF($G$6&lt;=0,MAX(0,IF($C$12="Call",$A45-$D$12,$D$12-$A45)),IF($C$12="Call",$A45*EXP(-$F$6*($G$6/365))*NORMSDIST((LN($A45/$D$12)+($E$6-$F$6+$G$12^2/2)*($G$6/365))/($G$12*SQRT($G$6/365)))-$D$12*EXP(-$E$6*($G$6/365))*NORMSDIST((LN($A45/$D$12)+($E$6-$F$6+$G$12^2/2)*($G$6/365))/($G$12*SQRT($G$6/365))-$G$12*SQRT($G$6/365)),$D$12*EXP(-$E$6*($G$6/365))*NORMSDIST(-((LN($A45/$D$12)+($E$6-$F$6+$G$12^2/2)*($G$6/365))/($G$12*SQRT($G$6/365))-$G$12*SQRT($G$6/365)))-$A45*EXP(-$F$6*($G$6/365))*NORMSDIST(-((LN($A45/$D$12)+($E$6-$F$6+$G$12^2/2)*($G$6/365))/($G$12*SQRT($G$6/365)))))))</f>
        <v/>
      </c>
      <c r="N45" s="52">
        <f>K45+L45+M45+(IF($F$13=0,0,IF($B$13="Buy",1,-1)*$F$13*$H$6*IF($G$6&lt;=0,MAX(0,IF($C$13="Call",$A45-$D$13,$D$13-$A45)),IF($C$13="Call",$A45*EXP(-$F$6*($G$6/365))*NORMSDIST((LN($A45/$D$13)+($E$6-$F$6+$G$13^2/2)*($G$6/365))/($G$13*SQRT($G$6/365)))-$D$13*EXP(-$E$6*($G$6/365))*NORMSDIST((LN($A45/$D$13)+($E$6-$F$6+$G$13^2/2)*($G$6/365))/($G$13*SQRT($G$6/365))-$G$13*SQRT($G$6/365)),$D$13*EXP(-$E$6*($G$6/365))*NORMSDIST(-((LN($A45/$D$13)+($E$6-$F$6+$G$13^2/2)*($G$6/365))/($G$13*SQRT($G$6/365))-$G$13*SQRT($G$6/365)))-$A45*EXP(-$F$6*($G$6/365))*NORMSDIST(-((LN($A45/$D$13)+($E$6-$F$6+$G$13^2/2)*($G$6/365))/($G$13*SQRT($G$6/365))))))))+$I$14</f>
        <v/>
      </c>
    </row>
    <row r="46">
      <c r="A46" s="48">
        <f>A45+$D$23</f>
        <v/>
      </c>
      <c r="B46" s="49">
        <f>IF($F$10=0,0,IF($B$10="Buy",1,-1)*(MAX(0,IF($C$10="Call",$A46-$D$10,$D$10-$A46))-$E$10)*$F$10*$H$6)</f>
        <v/>
      </c>
      <c r="C46" s="49">
        <f>IF($F$11=0,0,IF($B$11="Buy",1,-1)*(MAX(0,IF($C$11="Call",$A46-$D$11,$D$11-$A46))-$E$11)*$F$11*$H$6)</f>
        <v/>
      </c>
      <c r="D46" s="49">
        <f>IF($F$12=0,0,IF($B$12="Buy",1,-1)*(MAX(0,IF($C$12="Call",$A46-$D$12,$D$12-$A46))-$E$12)*$F$12*$H$6)</f>
        <v/>
      </c>
      <c r="E46" s="49">
        <f>IF($F$13=0,0,IF($B$13="Buy",1,-1)*(MAX(0,IF($C$13="Call",$A46-$D$13,$D$13-$A46))-$E$13)*$F$13*$H$6)</f>
        <v/>
      </c>
      <c r="F46" s="49">
        <f>SUM(B46:E46)</f>
        <v/>
      </c>
      <c r="G46" s="49">
        <f>N46</f>
        <v/>
      </c>
      <c r="H46" s="6" t="n">
        <v>0</v>
      </c>
      <c r="I46" s="50">
        <f>IF($D$19=0,0,F46/$D$19)</f>
        <v/>
      </c>
      <c r="K46" s="51">
        <f>IF($F$10=0,0,IF($B$10="Buy",1,-1)*$F$10*$H$6*IF($G$6&lt;=0,MAX(0,IF($C$10="Call",$A46-$D$10,$D$10-$A46)),IF($C$10="Call",$A46*EXP(-$F$6*($G$6/365))*NORMSDIST((LN($A46/$D$10)+($E$6-$F$6+$G$10^2/2)*($G$6/365))/($G$10*SQRT($G$6/365)))-$D$10*EXP(-$E$6*($G$6/365))*NORMSDIST((LN($A46/$D$10)+($E$6-$F$6+$G$10^2/2)*($G$6/365))/($G$10*SQRT($G$6/365))-$G$10*SQRT($G$6/365)),$D$10*EXP(-$E$6*($G$6/365))*NORMSDIST(-((LN($A46/$D$10)+($E$6-$F$6+$G$10^2/2)*($G$6/365))/($G$10*SQRT($G$6/365))-$G$10*SQRT($G$6/365)))-$A46*EXP(-$F$6*($G$6/365))*NORMSDIST(-((LN($A46/$D$10)+($E$6-$F$6+$G$10^2/2)*($G$6/365))/($G$10*SQRT($G$6/365)))))))</f>
        <v/>
      </c>
      <c r="L46" s="51">
        <f>IF($F$11=0,0,IF($B$11="Buy",1,-1)*$F$11*$H$6*IF($G$6&lt;=0,MAX(0,IF($C$11="Call",$A46-$D$11,$D$11-$A46)),IF($C$11="Call",$A46*EXP(-$F$6*($G$6/365))*NORMSDIST((LN($A46/$D$11)+($E$6-$F$6+$G$11^2/2)*($G$6/365))/($G$11*SQRT($G$6/365)))-$D$11*EXP(-$E$6*($G$6/365))*NORMSDIST((LN($A46/$D$11)+($E$6-$F$6+$G$11^2/2)*($G$6/365))/($G$11*SQRT($G$6/365))-$G$11*SQRT($G$6/365)),$D$11*EXP(-$E$6*($G$6/365))*NORMSDIST(-((LN($A46/$D$11)+($E$6-$F$6+$G$11^2/2)*($G$6/365))/($G$11*SQRT($G$6/365))-$G$11*SQRT($G$6/365)))-$A46*EXP(-$F$6*($G$6/365))*NORMSDIST(-((LN($A46/$D$11)+($E$6-$F$6+$G$11^2/2)*($G$6/365))/($G$11*SQRT($G$6/365)))))))</f>
        <v/>
      </c>
      <c r="M46" s="51">
        <f>IF($F$12=0,0,IF($B$12="Buy",1,-1)*$F$12*$H$6*IF($G$6&lt;=0,MAX(0,IF($C$12="Call",$A46-$D$12,$D$12-$A46)),IF($C$12="Call",$A46*EXP(-$F$6*($G$6/365))*NORMSDIST((LN($A46/$D$12)+($E$6-$F$6+$G$12^2/2)*($G$6/365))/($G$12*SQRT($G$6/365)))-$D$12*EXP(-$E$6*($G$6/365))*NORMSDIST((LN($A46/$D$12)+($E$6-$F$6+$G$12^2/2)*($G$6/365))/($G$12*SQRT($G$6/365))-$G$12*SQRT($G$6/365)),$D$12*EXP(-$E$6*($G$6/365))*NORMSDIST(-((LN($A46/$D$12)+($E$6-$F$6+$G$12^2/2)*($G$6/365))/($G$12*SQRT($G$6/365))-$G$12*SQRT($G$6/365)))-$A46*EXP(-$F$6*($G$6/365))*NORMSDIST(-((LN($A46/$D$12)+($E$6-$F$6+$G$12^2/2)*($G$6/365))/($G$12*SQRT($G$6/365)))))))</f>
        <v/>
      </c>
      <c r="N46" s="52">
        <f>K46+L46+M46+(IF($F$13=0,0,IF($B$13="Buy",1,-1)*$F$13*$H$6*IF($G$6&lt;=0,MAX(0,IF($C$13="Call",$A46-$D$13,$D$13-$A46)),IF($C$13="Call",$A46*EXP(-$F$6*($G$6/365))*NORMSDIST((LN($A46/$D$13)+($E$6-$F$6+$G$13^2/2)*($G$6/365))/($G$13*SQRT($G$6/365)))-$D$13*EXP(-$E$6*($G$6/365))*NORMSDIST((LN($A46/$D$13)+($E$6-$F$6+$G$13^2/2)*($G$6/365))/($G$13*SQRT($G$6/365))-$G$13*SQRT($G$6/365)),$D$13*EXP(-$E$6*($G$6/365))*NORMSDIST(-((LN($A46/$D$13)+($E$6-$F$6+$G$13^2/2)*($G$6/365))/($G$13*SQRT($G$6/365))-$G$13*SQRT($G$6/365)))-$A46*EXP(-$F$6*($G$6/365))*NORMSDIST(-((LN($A46/$D$13)+($E$6-$F$6+$G$13^2/2)*($G$6/365))/($G$13*SQRT($G$6/365))))))))+$I$14</f>
        <v/>
      </c>
    </row>
    <row r="47">
      <c r="A47" s="53">
        <f>A46+$D$23</f>
        <v/>
      </c>
      <c r="B47" s="54">
        <f>IF($F$10=0,0,IF($B$10="Buy",1,-1)*(MAX(0,IF($C$10="Call",$A47-$D$10,$D$10-$A47))-$E$10)*$F$10*$H$6)</f>
        <v/>
      </c>
      <c r="C47" s="54">
        <f>IF($F$11=0,0,IF($B$11="Buy",1,-1)*(MAX(0,IF($C$11="Call",$A47-$D$11,$D$11-$A47))-$E$11)*$F$11*$H$6)</f>
        <v/>
      </c>
      <c r="D47" s="54">
        <f>IF($F$12=0,0,IF($B$12="Buy",1,-1)*(MAX(0,IF($C$12="Call",$A47-$D$12,$D$12-$A47))-$E$12)*$F$12*$H$6)</f>
        <v/>
      </c>
      <c r="E47" s="54">
        <f>IF($F$13=0,0,IF($B$13="Buy",1,-1)*(MAX(0,IF($C$13="Call",$A47-$D$13,$D$13-$A47))-$E$13)*$F$13*$H$6)</f>
        <v/>
      </c>
      <c r="F47" s="54">
        <f>SUM(B47:E47)</f>
        <v/>
      </c>
      <c r="G47" s="54">
        <f>N47</f>
        <v/>
      </c>
      <c r="H47" s="9" t="n">
        <v>0</v>
      </c>
      <c r="I47" s="55">
        <f>IF($D$19=0,0,F47/$D$19)</f>
        <v/>
      </c>
      <c r="K47" s="51">
        <f>IF($F$10=0,0,IF($B$10="Buy",1,-1)*$F$10*$H$6*IF($G$6&lt;=0,MAX(0,IF($C$10="Call",$A47-$D$10,$D$10-$A47)),IF($C$10="Call",$A47*EXP(-$F$6*($G$6/365))*NORMSDIST((LN($A47/$D$10)+($E$6-$F$6+$G$10^2/2)*($G$6/365))/($G$10*SQRT($G$6/365)))-$D$10*EXP(-$E$6*($G$6/365))*NORMSDIST((LN($A47/$D$10)+($E$6-$F$6+$G$10^2/2)*($G$6/365))/($G$10*SQRT($G$6/365))-$G$10*SQRT($G$6/365)),$D$10*EXP(-$E$6*($G$6/365))*NORMSDIST(-((LN($A47/$D$10)+($E$6-$F$6+$G$10^2/2)*($G$6/365))/($G$10*SQRT($G$6/365))-$G$10*SQRT($G$6/365)))-$A47*EXP(-$F$6*($G$6/365))*NORMSDIST(-((LN($A47/$D$10)+($E$6-$F$6+$G$10^2/2)*($G$6/365))/($G$10*SQRT($G$6/365)))))))</f>
        <v/>
      </c>
      <c r="L47" s="51">
        <f>IF($F$11=0,0,IF($B$11="Buy",1,-1)*$F$11*$H$6*IF($G$6&lt;=0,MAX(0,IF($C$11="Call",$A47-$D$11,$D$11-$A47)),IF($C$11="Call",$A47*EXP(-$F$6*($G$6/365))*NORMSDIST((LN($A47/$D$11)+($E$6-$F$6+$G$11^2/2)*($G$6/365))/($G$11*SQRT($G$6/365)))-$D$11*EXP(-$E$6*($G$6/365))*NORMSDIST((LN($A47/$D$11)+($E$6-$F$6+$G$11^2/2)*($G$6/365))/($G$11*SQRT($G$6/365))-$G$11*SQRT($G$6/365)),$D$11*EXP(-$E$6*($G$6/365))*NORMSDIST(-((LN($A47/$D$11)+($E$6-$F$6+$G$11^2/2)*($G$6/365))/($G$11*SQRT($G$6/365))-$G$11*SQRT($G$6/365)))-$A47*EXP(-$F$6*($G$6/365))*NORMSDIST(-((LN($A47/$D$11)+($E$6-$F$6+$G$11^2/2)*($G$6/365))/($G$11*SQRT($G$6/365)))))))</f>
        <v/>
      </c>
      <c r="M47" s="51">
        <f>IF($F$12=0,0,IF($B$12="Buy",1,-1)*$F$12*$H$6*IF($G$6&lt;=0,MAX(0,IF($C$12="Call",$A47-$D$12,$D$12-$A47)),IF($C$12="Call",$A47*EXP(-$F$6*($G$6/365))*NORMSDIST((LN($A47/$D$12)+($E$6-$F$6+$G$12^2/2)*($G$6/365))/($G$12*SQRT($G$6/365)))-$D$12*EXP(-$E$6*($G$6/365))*NORMSDIST((LN($A47/$D$12)+($E$6-$F$6+$G$12^2/2)*($G$6/365))/($G$12*SQRT($G$6/365))-$G$12*SQRT($G$6/365)),$D$12*EXP(-$E$6*($G$6/365))*NORMSDIST(-((LN($A47/$D$12)+($E$6-$F$6+$G$12^2/2)*($G$6/365))/($G$12*SQRT($G$6/365))-$G$12*SQRT($G$6/365)))-$A47*EXP(-$F$6*($G$6/365))*NORMSDIST(-((LN($A47/$D$12)+($E$6-$F$6+$G$12^2/2)*($G$6/365))/($G$12*SQRT($G$6/365)))))))</f>
        <v/>
      </c>
      <c r="N47" s="52">
        <f>K47+L47+M47+(IF($F$13=0,0,IF($B$13="Buy",1,-1)*$F$13*$H$6*IF($G$6&lt;=0,MAX(0,IF($C$13="Call",$A47-$D$13,$D$13-$A47)),IF($C$13="Call",$A47*EXP(-$F$6*($G$6/365))*NORMSDIST((LN($A47/$D$13)+($E$6-$F$6+$G$13^2/2)*($G$6/365))/($G$13*SQRT($G$6/365)))-$D$13*EXP(-$E$6*($G$6/365))*NORMSDIST((LN($A47/$D$13)+($E$6-$F$6+$G$13^2/2)*($G$6/365))/($G$13*SQRT($G$6/365))-$G$13*SQRT($G$6/365)),$D$13*EXP(-$E$6*($G$6/365))*NORMSDIST(-((LN($A47/$D$13)+($E$6-$F$6+$G$13^2/2)*($G$6/365))/($G$13*SQRT($G$6/365))-$G$13*SQRT($G$6/365)))-$A47*EXP(-$F$6*($G$6/365))*NORMSDIST(-((LN($A47/$D$13)+($E$6-$F$6+$G$13^2/2)*($G$6/365))/($G$13*SQRT($G$6/365))))))))+$I$14</f>
        <v/>
      </c>
    </row>
    <row r="48">
      <c r="A48" s="48">
        <f>A47+$D$23</f>
        <v/>
      </c>
      <c r="B48" s="49">
        <f>IF($F$10=0,0,IF($B$10="Buy",1,-1)*(MAX(0,IF($C$10="Call",$A48-$D$10,$D$10-$A48))-$E$10)*$F$10*$H$6)</f>
        <v/>
      </c>
      <c r="C48" s="49">
        <f>IF($F$11=0,0,IF($B$11="Buy",1,-1)*(MAX(0,IF($C$11="Call",$A48-$D$11,$D$11-$A48))-$E$11)*$F$11*$H$6)</f>
        <v/>
      </c>
      <c r="D48" s="49">
        <f>IF($F$12=0,0,IF($B$12="Buy",1,-1)*(MAX(0,IF($C$12="Call",$A48-$D$12,$D$12-$A48))-$E$12)*$F$12*$H$6)</f>
        <v/>
      </c>
      <c r="E48" s="49">
        <f>IF($F$13=0,0,IF($B$13="Buy",1,-1)*(MAX(0,IF($C$13="Call",$A48-$D$13,$D$13-$A48))-$E$13)*$F$13*$H$6)</f>
        <v/>
      </c>
      <c r="F48" s="49">
        <f>SUM(B48:E48)</f>
        <v/>
      </c>
      <c r="G48" s="49">
        <f>N48</f>
        <v/>
      </c>
      <c r="H48" s="6" t="n">
        <v>0</v>
      </c>
      <c r="I48" s="50">
        <f>IF($D$19=0,0,F48/$D$19)</f>
        <v/>
      </c>
      <c r="K48" s="51">
        <f>IF($F$10=0,0,IF($B$10="Buy",1,-1)*$F$10*$H$6*IF($G$6&lt;=0,MAX(0,IF($C$10="Call",$A48-$D$10,$D$10-$A48)),IF($C$10="Call",$A48*EXP(-$F$6*($G$6/365))*NORMSDIST((LN($A48/$D$10)+($E$6-$F$6+$G$10^2/2)*($G$6/365))/($G$10*SQRT($G$6/365)))-$D$10*EXP(-$E$6*($G$6/365))*NORMSDIST((LN($A48/$D$10)+($E$6-$F$6+$G$10^2/2)*($G$6/365))/($G$10*SQRT($G$6/365))-$G$10*SQRT($G$6/365)),$D$10*EXP(-$E$6*($G$6/365))*NORMSDIST(-((LN($A48/$D$10)+($E$6-$F$6+$G$10^2/2)*($G$6/365))/($G$10*SQRT($G$6/365))-$G$10*SQRT($G$6/365)))-$A48*EXP(-$F$6*($G$6/365))*NORMSDIST(-((LN($A48/$D$10)+($E$6-$F$6+$G$10^2/2)*($G$6/365))/($G$10*SQRT($G$6/365)))))))</f>
        <v/>
      </c>
      <c r="L48" s="51">
        <f>IF($F$11=0,0,IF($B$11="Buy",1,-1)*$F$11*$H$6*IF($G$6&lt;=0,MAX(0,IF($C$11="Call",$A48-$D$11,$D$11-$A48)),IF($C$11="Call",$A48*EXP(-$F$6*($G$6/365))*NORMSDIST((LN($A48/$D$11)+($E$6-$F$6+$G$11^2/2)*($G$6/365))/($G$11*SQRT($G$6/365)))-$D$11*EXP(-$E$6*($G$6/365))*NORMSDIST((LN($A48/$D$11)+($E$6-$F$6+$G$11^2/2)*($G$6/365))/($G$11*SQRT($G$6/365))-$G$11*SQRT($G$6/365)),$D$11*EXP(-$E$6*($G$6/365))*NORMSDIST(-((LN($A48/$D$11)+($E$6-$F$6+$G$11^2/2)*($G$6/365))/($G$11*SQRT($G$6/365))-$G$11*SQRT($G$6/365)))-$A48*EXP(-$F$6*($G$6/365))*NORMSDIST(-((LN($A48/$D$11)+($E$6-$F$6+$G$11^2/2)*($G$6/365))/($G$11*SQRT($G$6/365)))))))</f>
        <v/>
      </c>
      <c r="M48" s="51">
        <f>IF($F$12=0,0,IF($B$12="Buy",1,-1)*$F$12*$H$6*IF($G$6&lt;=0,MAX(0,IF($C$12="Call",$A48-$D$12,$D$12-$A48)),IF($C$12="Call",$A48*EXP(-$F$6*($G$6/365))*NORMSDIST((LN($A48/$D$12)+($E$6-$F$6+$G$12^2/2)*($G$6/365))/($G$12*SQRT($G$6/365)))-$D$12*EXP(-$E$6*($G$6/365))*NORMSDIST((LN($A48/$D$12)+($E$6-$F$6+$G$12^2/2)*($G$6/365))/($G$12*SQRT($G$6/365))-$G$12*SQRT($G$6/365)),$D$12*EXP(-$E$6*($G$6/365))*NORMSDIST(-((LN($A48/$D$12)+($E$6-$F$6+$G$12^2/2)*($G$6/365))/($G$12*SQRT($G$6/365))-$G$12*SQRT($G$6/365)))-$A48*EXP(-$F$6*($G$6/365))*NORMSDIST(-((LN($A48/$D$12)+($E$6-$F$6+$G$12^2/2)*($G$6/365))/($G$12*SQRT($G$6/365)))))))</f>
        <v/>
      </c>
      <c r="N48" s="52">
        <f>K48+L48+M48+(IF($F$13=0,0,IF($B$13="Buy",1,-1)*$F$13*$H$6*IF($G$6&lt;=0,MAX(0,IF($C$13="Call",$A48-$D$13,$D$13-$A48)),IF($C$13="Call",$A48*EXP(-$F$6*($G$6/365))*NORMSDIST((LN($A48/$D$13)+($E$6-$F$6+$G$13^2/2)*($G$6/365))/($G$13*SQRT($G$6/365)))-$D$13*EXP(-$E$6*($G$6/365))*NORMSDIST((LN($A48/$D$13)+($E$6-$F$6+$G$13^2/2)*($G$6/365))/($G$13*SQRT($G$6/365))-$G$13*SQRT($G$6/365)),$D$13*EXP(-$E$6*($G$6/365))*NORMSDIST(-((LN($A48/$D$13)+($E$6-$F$6+$G$13^2/2)*($G$6/365))/($G$13*SQRT($G$6/365))-$G$13*SQRT($G$6/365)))-$A48*EXP(-$F$6*($G$6/365))*NORMSDIST(-((LN($A48/$D$13)+($E$6-$F$6+$G$13^2/2)*($G$6/365))/($G$13*SQRT($G$6/365))))))))+$I$14</f>
        <v/>
      </c>
    </row>
    <row r="49">
      <c r="A49" s="53">
        <f>A48+$D$23</f>
        <v/>
      </c>
      <c r="B49" s="54">
        <f>IF($F$10=0,0,IF($B$10="Buy",1,-1)*(MAX(0,IF($C$10="Call",$A49-$D$10,$D$10-$A49))-$E$10)*$F$10*$H$6)</f>
        <v/>
      </c>
      <c r="C49" s="54">
        <f>IF($F$11=0,0,IF($B$11="Buy",1,-1)*(MAX(0,IF($C$11="Call",$A49-$D$11,$D$11-$A49))-$E$11)*$F$11*$H$6)</f>
        <v/>
      </c>
      <c r="D49" s="54">
        <f>IF($F$12=0,0,IF($B$12="Buy",1,-1)*(MAX(0,IF($C$12="Call",$A49-$D$12,$D$12-$A49))-$E$12)*$F$12*$H$6)</f>
        <v/>
      </c>
      <c r="E49" s="54">
        <f>IF($F$13=0,0,IF($B$13="Buy",1,-1)*(MAX(0,IF($C$13="Call",$A49-$D$13,$D$13-$A49))-$E$13)*$F$13*$H$6)</f>
        <v/>
      </c>
      <c r="F49" s="54">
        <f>SUM(B49:E49)</f>
        <v/>
      </c>
      <c r="G49" s="54">
        <f>N49</f>
        <v/>
      </c>
      <c r="H49" s="9" t="n">
        <v>0</v>
      </c>
      <c r="I49" s="55">
        <f>IF($D$19=0,0,F49/$D$19)</f>
        <v/>
      </c>
      <c r="K49" s="51">
        <f>IF($F$10=0,0,IF($B$10="Buy",1,-1)*$F$10*$H$6*IF($G$6&lt;=0,MAX(0,IF($C$10="Call",$A49-$D$10,$D$10-$A49)),IF($C$10="Call",$A49*EXP(-$F$6*($G$6/365))*NORMSDIST((LN($A49/$D$10)+($E$6-$F$6+$G$10^2/2)*($G$6/365))/($G$10*SQRT($G$6/365)))-$D$10*EXP(-$E$6*($G$6/365))*NORMSDIST((LN($A49/$D$10)+($E$6-$F$6+$G$10^2/2)*($G$6/365))/($G$10*SQRT($G$6/365))-$G$10*SQRT($G$6/365)),$D$10*EXP(-$E$6*($G$6/365))*NORMSDIST(-((LN($A49/$D$10)+($E$6-$F$6+$G$10^2/2)*($G$6/365))/($G$10*SQRT($G$6/365))-$G$10*SQRT($G$6/365)))-$A49*EXP(-$F$6*($G$6/365))*NORMSDIST(-((LN($A49/$D$10)+($E$6-$F$6+$G$10^2/2)*($G$6/365))/($G$10*SQRT($G$6/365)))))))</f>
        <v/>
      </c>
      <c r="L49" s="51">
        <f>IF($F$11=0,0,IF($B$11="Buy",1,-1)*$F$11*$H$6*IF($G$6&lt;=0,MAX(0,IF($C$11="Call",$A49-$D$11,$D$11-$A49)),IF($C$11="Call",$A49*EXP(-$F$6*($G$6/365))*NORMSDIST((LN($A49/$D$11)+($E$6-$F$6+$G$11^2/2)*($G$6/365))/($G$11*SQRT($G$6/365)))-$D$11*EXP(-$E$6*($G$6/365))*NORMSDIST((LN($A49/$D$11)+($E$6-$F$6+$G$11^2/2)*($G$6/365))/($G$11*SQRT($G$6/365))-$G$11*SQRT($G$6/365)),$D$11*EXP(-$E$6*($G$6/365))*NORMSDIST(-((LN($A49/$D$11)+($E$6-$F$6+$G$11^2/2)*($G$6/365))/($G$11*SQRT($G$6/365))-$G$11*SQRT($G$6/365)))-$A49*EXP(-$F$6*($G$6/365))*NORMSDIST(-((LN($A49/$D$11)+($E$6-$F$6+$G$11^2/2)*($G$6/365))/($G$11*SQRT($G$6/365)))))))</f>
        <v/>
      </c>
      <c r="M49" s="51">
        <f>IF($F$12=0,0,IF($B$12="Buy",1,-1)*$F$12*$H$6*IF($G$6&lt;=0,MAX(0,IF($C$12="Call",$A49-$D$12,$D$12-$A49)),IF($C$12="Call",$A49*EXP(-$F$6*($G$6/365))*NORMSDIST((LN($A49/$D$12)+($E$6-$F$6+$G$12^2/2)*($G$6/365))/($G$12*SQRT($G$6/365)))-$D$12*EXP(-$E$6*($G$6/365))*NORMSDIST((LN($A49/$D$12)+($E$6-$F$6+$G$12^2/2)*($G$6/365))/($G$12*SQRT($G$6/365))-$G$12*SQRT($G$6/365)),$D$12*EXP(-$E$6*($G$6/365))*NORMSDIST(-((LN($A49/$D$12)+($E$6-$F$6+$G$12^2/2)*($G$6/365))/($G$12*SQRT($G$6/365))-$G$12*SQRT($G$6/365)))-$A49*EXP(-$F$6*($G$6/365))*NORMSDIST(-((LN($A49/$D$12)+($E$6-$F$6+$G$12^2/2)*($G$6/365))/($G$12*SQRT($G$6/365)))))))</f>
        <v/>
      </c>
      <c r="N49" s="52">
        <f>K49+L49+M49+(IF($F$13=0,0,IF($B$13="Buy",1,-1)*$F$13*$H$6*IF($G$6&lt;=0,MAX(0,IF($C$13="Call",$A49-$D$13,$D$13-$A49)),IF($C$13="Call",$A49*EXP(-$F$6*($G$6/365))*NORMSDIST((LN($A49/$D$13)+($E$6-$F$6+$G$13^2/2)*($G$6/365))/($G$13*SQRT($G$6/365)))-$D$13*EXP(-$E$6*($G$6/365))*NORMSDIST((LN($A49/$D$13)+($E$6-$F$6+$G$13^2/2)*($G$6/365))/($G$13*SQRT($G$6/365))-$G$13*SQRT($G$6/365)),$D$13*EXP(-$E$6*($G$6/365))*NORMSDIST(-((LN($A49/$D$13)+($E$6-$F$6+$G$13^2/2)*($G$6/365))/($G$13*SQRT($G$6/365))-$G$13*SQRT($G$6/365)))-$A49*EXP(-$F$6*($G$6/365))*NORMSDIST(-((LN($A49/$D$13)+($E$6-$F$6+$G$13^2/2)*($G$6/365))/($G$13*SQRT($G$6/365))))))))+$I$14</f>
        <v/>
      </c>
    </row>
    <row r="50">
      <c r="A50" s="48">
        <f>A49+$D$23</f>
        <v/>
      </c>
      <c r="B50" s="49">
        <f>IF($F$10=0,0,IF($B$10="Buy",1,-1)*(MAX(0,IF($C$10="Call",$A50-$D$10,$D$10-$A50))-$E$10)*$F$10*$H$6)</f>
        <v/>
      </c>
      <c r="C50" s="49">
        <f>IF($F$11=0,0,IF($B$11="Buy",1,-1)*(MAX(0,IF($C$11="Call",$A50-$D$11,$D$11-$A50))-$E$11)*$F$11*$H$6)</f>
        <v/>
      </c>
      <c r="D50" s="49">
        <f>IF($F$12=0,0,IF($B$12="Buy",1,-1)*(MAX(0,IF($C$12="Call",$A50-$D$12,$D$12-$A50))-$E$12)*$F$12*$H$6)</f>
        <v/>
      </c>
      <c r="E50" s="49">
        <f>IF($F$13=0,0,IF($B$13="Buy",1,-1)*(MAX(0,IF($C$13="Call",$A50-$D$13,$D$13-$A50))-$E$13)*$F$13*$H$6)</f>
        <v/>
      </c>
      <c r="F50" s="49">
        <f>SUM(B50:E50)</f>
        <v/>
      </c>
      <c r="G50" s="49">
        <f>N50</f>
        <v/>
      </c>
      <c r="H50" s="6" t="n">
        <v>0</v>
      </c>
      <c r="I50" s="50">
        <f>IF($D$19=0,0,F50/$D$19)</f>
        <v/>
      </c>
      <c r="K50" s="51">
        <f>IF($F$10=0,0,IF($B$10="Buy",1,-1)*$F$10*$H$6*IF($G$6&lt;=0,MAX(0,IF($C$10="Call",$A50-$D$10,$D$10-$A50)),IF($C$10="Call",$A50*EXP(-$F$6*($G$6/365))*NORMSDIST((LN($A50/$D$10)+($E$6-$F$6+$G$10^2/2)*($G$6/365))/($G$10*SQRT($G$6/365)))-$D$10*EXP(-$E$6*($G$6/365))*NORMSDIST((LN($A50/$D$10)+($E$6-$F$6+$G$10^2/2)*($G$6/365))/($G$10*SQRT($G$6/365))-$G$10*SQRT($G$6/365)),$D$10*EXP(-$E$6*($G$6/365))*NORMSDIST(-((LN($A50/$D$10)+($E$6-$F$6+$G$10^2/2)*($G$6/365))/($G$10*SQRT($G$6/365))-$G$10*SQRT($G$6/365)))-$A50*EXP(-$F$6*($G$6/365))*NORMSDIST(-((LN($A50/$D$10)+($E$6-$F$6+$G$10^2/2)*($G$6/365))/($G$10*SQRT($G$6/365)))))))</f>
        <v/>
      </c>
      <c r="L50" s="51">
        <f>IF($F$11=0,0,IF($B$11="Buy",1,-1)*$F$11*$H$6*IF($G$6&lt;=0,MAX(0,IF($C$11="Call",$A50-$D$11,$D$11-$A50)),IF($C$11="Call",$A50*EXP(-$F$6*($G$6/365))*NORMSDIST((LN($A50/$D$11)+($E$6-$F$6+$G$11^2/2)*($G$6/365))/($G$11*SQRT($G$6/365)))-$D$11*EXP(-$E$6*($G$6/365))*NORMSDIST((LN($A50/$D$11)+($E$6-$F$6+$G$11^2/2)*($G$6/365))/($G$11*SQRT($G$6/365))-$G$11*SQRT($G$6/365)),$D$11*EXP(-$E$6*($G$6/365))*NORMSDIST(-((LN($A50/$D$11)+($E$6-$F$6+$G$11^2/2)*($G$6/365))/($G$11*SQRT($G$6/365))-$G$11*SQRT($G$6/365)))-$A50*EXP(-$F$6*($G$6/365))*NORMSDIST(-((LN($A50/$D$11)+($E$6-$F$6+$G$11^2/2)*($G$6/365))/($G$11*SQRT($G$6/365)))))))</f>
        <v/>
      </c>
      <c r="M50" s="51">
        <f>IF($F$12=0,0,IF($B$12="Buy",1,-1)*$F$12*$H$6*IF($G$6&lt;=0,MAX(0,IF($C$12="Call",$A50-$D$12,$D$12-$A50)),IF($C$12="Call",$A50*EXP(-$F$6*($G$6/365))*NORMSDIST((LN($A50/$D$12)+($E$6-$F$6+$G$12^2/2)*($G$6/365))/($G$12*SQRT($G$6/365)))-$D$12*EXP(-$E$6*($G$6/365))*NORMSDIST((LN($A50/$D$12)+($E$6-$F$6+$G$12^2/2)*($G$6/365))/($G$12*SQRT($G$6/365))-$G$12*SQRT($G$6/365)),$D$12*EXP(-$E$6*($G$6/365))*NORMSDIST(-((LN($A50/$D$12)+($E$6-$F$6+$G$12^2/2)*($G$6/365))/($G$12*SQRT($G$6/365))-$G$12*SQRT($G$6/365)))-$A50*EXP(-$F$6*($G$6/365))*NORMSDIST(-((LN($A50/$D$12)+($E$6-$F$6+$G$12^2/2)*($G$6/365))/($G$12*SQRT($G$6/365)))))))</f>
        <v/>
      </c>
      <c r="N50" s="52">
        <f>K50+L50+M50+(IF($F$13=0,0,IF($B$13="Buy",1,-1)*$F$13*$H$6*IF($G$6&lt;=0,MAX(0,IF($C$13="Call",$A50-$D$13,$D$13-$A50)),IF($C$13="Call",$A50*EXP(-$F$6*($G$6/365))*NORMSDIST((LN($A50/$D$13)+($E$6-$F$6+$G$13^2/2)*($G$6/365))/($G$13*SQRT($G$6/365)))-$D$13*EXP(-$E$6*($G$6/365))*NORMSDIST((LN($A50/$D$13)+($E$6-$F$6+$G$13^2/2)*($G$6/365))/($G$13*SQRT($G$6/365))-$G$13*SQRT($G$6/365)),$D$13*EXP(-$E$6*($G$6/365))*NORMSDIST(-((LN($A50/$D$13)+($E$6-$F$6+$G$13^2/2)*($G$6/365))/($G$13*SQRT($G$6/365))-$G$13*SQRT($G$6/365)))-$A50*EXP(-$F$6*($G$6/365))*NORMSDIST(-((LN($A50/$D$13)+($E$6-$F$6+$G$13^2/2)*($G$6/365))/($G$13*SQRT($G$6/365))))))))+$I$14</f>
        <v/>
      </c>
    </row>
    <row r="51">
      <c r="A51" s="53">
        <f>A50+$D$23</f>
        <v/>
      </c>
      <c r="B51" s="54">
        <f>IF($F$10=0,0,IF($B$10="Buy",1,-1)*(MAX(0,IF($C$10="Call",$A51-$D$10,$D$10-$A51))-$E$10)*$F$10*$H$6)</f>
        <v/>
      </c>
      <c r="C51" s="54">
        <f>IF($F$11=0,0,IF($B$11="Buy",1,-1)*(MAX(0,IF($C$11="Call",$A51-$D$11,$D$11-$A51))-$E$11)*$F$11*$H$6)</f>
        <v/>
      </c>
      <c r="D51" s="54">
        <f>IF($F$12=0,0,IF($B$12="Buy",1,-1)*(MAX(0,IF($C$12="Call",$A51-$D$12,$D$12-$A51))-$E$12)*$F$12*$H$6)</f>
        <v/>
      </c>
      <c r="E51" s="54">
        <f>IF($F$13=0,0,IF($B$13="Buy",1,-1)*(MAX(0,IF($C$13="Call",$A51-$D$13,$D$13-$A51))-$E$13)*$F$13*$H$6)</f>
        <v/>
      </c>
      <c r="F51" s="54">
        <f>SUM(B51:E51)</f>
        <v/>
      </c>
      <c r="G51" s="54">
        <f>N51</f>
        <v/>
      </c>
      <c r="H51" s="9" t="n">
        <v>0</v>
      </c>
      <c r="I51" s="55">
        <f>IF($D$19=0,0,F51/$D$19)</f>
        <v/>
      </c>
      <c r="K51" s="51">
        <f>IF($F$10=0,0,IF($B$10="Buy",1,-1)*$F$10*$H$6*IF($G$6&lt;=0,MAX(0,IF($C$10="Call",$A51-$D$10,$D$10-$A51)),IF($C$10="Call",$A51*EXP(-$F$6*($G$6/365))*NORMSDIST((LN($A51/$D$10)+($E$6-$F$6+$G$10^2/2)*($G$6/365))/($G$10*SQRT($G$6/365)))-$D$10*EXP(-$E$6*($G$6/365))*NORMSDIST((LN($A51/$D$10)+($E$6-$F$6+$G$10^2/2)*($G$6/365))/($G$10*SQRT($G$6/365))-$G$10*SQRT($G$6/365)),$D$10*EXP(-$E$6*($G$6/365))*NORMSDIST(-((LN($A51/$D$10)+($E$6-$F$6+$G$10^2/2)*($G$6/365))/($G$10*SQRT($G$6/365))-$G$10*SQRT($G$6/365)))-$A51*EXP(-$F$6*($G$6/365))*NORMSDIST(-((LN($A51/$D$10)+($E$6-$F$6+$G$10^2/2)*($G$6/365))/($G$10*SQRT($G$6/365)))))))</f>
        <v/>
      </c>
      <c r="L51" s="51">
        <f>IF($F$11=0,0,IF($B$11="Buy",1,-1)*$F$11*$H$6*IF($G$6&lt;=0,MAX(0,IF($C$11="Call",$A51-$D$11,$D$11-$A51)),IF($C$11="Call",$A51*EXP(-$F$6*($G$6/365))*NORMSDIST((LN($A51/$D$11)+($E$6-$F$6+$G$11^2/2)*($G$6/365))/($G$11*SQRT($G$6/365)))-$D$11*EXP(-$E$6*($G$6/365))*NORMSDIST((LN($A51/$D$11)+($E$6-$F$6+$G$11^2/2)*($G$6/365))/($G$11*SQRT($G$6/365))-$G$11*SQRT($G$6/365)),$D$11*EXP(-$E$6*($G$6/365))*NORMSDIST(-((LN($A51/$D$11)+($E$6-$F$6+$G$11^2/2)*($G$6/365))/($G$11*SQRT($G$6/365))-$G$11*SQRT($G$6/365)))-$A51*EXP(-$F$6*($G$6/365))*NORMSDIST(-((LN($A51/$D$11)+($E$6-$F$6+$G$11^2/2)*($G$6/365))/($G$11*SQRT($G$6/365)))))))</f>
        <v/>
      </c>
      <c r="M51" s="51">
        <f>IF($F$12=0,0,IF($B$12="Buy",1,-1)*$F$12*$H$6*IF($G$6&lt;=0,MAX(0,IF($C$12="Call",$A51-$D$12,$D$12-$A51)),IF($C$12="Call",$A51*EXP(-$F$6*($G$6/365))*NORMSDIST((LN($A51/$D$12)+($E$6-$F$6+$G$12^2/2)*($G$6/365))/($G$12*SQRT($G$6/365)))-$D$12*EXP(-$E$6*($G$6/365))*NORMSDIST((LN($A51/$D$12)+($E$6-$F$6+$G$12^2/2)*($G$6/365))/($G$12*SQRT($G$6/365))-$G$12*SQRT($G$6/365)),$D$12*EXP(-$E$6*($G$6/365))*NORMSDIST(-((LN($A51/$D$12)+($E$6-$F$6+$G$12^2/2)*($G$6/365))/($G$12*SQRT($G$6/365))-$G$12*SQRT($G$6/365)))-$A51*EXP(-$F$6*($G$6/365))*NORMSDIST(-((LN($A51/$D$12)+($E$6-$F$6+$G$12^2/2)*($G$6/365))/($G$12*SQRT($G$6/365)))))))</f>
        <v/>
      </c>
      <c r="N51" s="52">
        <f>K51+L51+M51+(IF($F$13=0,0,IF($B$13="Buy",1,-1)*$F$13*$H$6*IF($G$6&lt;=0,MAX(0,IF($C$13="Call",$A51-$D$13,$D$13-$A51)),IF($C$13="Call",$A51*EXP(-$F$6*($G$6/365))*NORMSDIST((LN($A51/$D$13)+($E$6-$F$6+$G$13^2/2)*($G$6/365))/($G$13*SQRT($G$6/365)))-$D$13*EXP(-$E$6*($G$6/365))*NORMSDIST((LN($A51/$D$13)+($E$6-$F$6+$G$13^2/2)*($G$6/365))/($G$13*SQRT($G$6/365))-$G$13*SQRT($G$6/365)),$D$13*EXP(-$E$6*($G$6/365))*NORMSDIST(-((LN($A51/$D$13)+($E$6-$F$6+$G$13^2/2)*($G$6/365))/($G$13*SQRT($G$6/365))-$G$13*SQRT($G$6/365)))-$A51*EXP(-$F$6*($G$6/365))*NORMSDIST(-((LN($A51/$D$13)+($E$6-$F$6+$G$13^2/2)*($G$6/365))/($G$13*SQRT($G$6/365))))))))+$I$14</f>
        <v/>
      </c>
    </row>
    <row r="52">
      <c r="A52" s="48">
        <f>A51+$D$23</f>
        <v/>
      </c>
      <c r="B52" s="49">
        <f>IF($F$10=0,0,IF($B$10="Buy",1,-1)*(MAX(0,IF($C$10="Call",$A52-$D$10,$D$10-$A52))-$E$10)*$F$10*$H$6)</f>
        <v/>
      </c>
      <c r="C52" s="49">
        <f>IF($F$11=0,0,IF($B$11="Buy",1,-1)*(MAX(0,IF($C$11="Call",$A52-$D$11,$D$11-$A52))-$E$11)*$F$11*$H$6)</f>
        <v/>
      </c>
      <c r="D52" s="49">
        <f>IF($F$12=0,0,IF($B$12="Buy",1,-1)*(MAX(0,IF($C$12="Call",$A52-$D$12,$D$12-$A52))-$E$12)*$F$12*$H$6)</f>
        <v/>
      </c>
      <c r="E52" s="49">
        <f>IF($F$13=0,0,IF($B$13="Buy",1,-1)*(MAX(0,IF($C$13="Call",$A52-$D$13,$D$13-$A52))-$E$13)*$F$13*$H$6)</f>
        <v/>
      </c>
      <c r="F52" s="49">
        <f>SUM(B52:E52)</f>
        <v/>
      </c>
      <c r="G52" s="49">
        <f>N52</f>
        <v/>
      </c>
      <c r="H52" s="6" t="n">
        <v>0</v>
      </c>
      <c r="I52" s="50">
        <f>IF($D$19=0,0,F52/$D$19)</f>
        <v/>
      </c>
      <c r="K52" s="51">
        <f>IF($F$10=0,0,IF($B$10="Buy",1,-1)*$F$10*$H$6*IF($G$6&lt;=0,MAX(0,IF($C$10="Call",$A52-$D$10,$D$10-$A52)),IF($C$10="Call",$A52*EXP(-$F$6*($G$6/365))*NORMSDIST((LN($A52/$D$10)+($E$6-$F$6+$G$10^2/2)*($G$6/365))/($G$10*SQRT($G$6/365)))-$D$10*EXP(-$E$6*($G$6/365))*NORMSDIST((LN($A52/$D$10)+($E$6-$F$6+$G$10^2/2)*($G$6/365))/($G$10*SQRT($G$6/365))-$G$10*SQRT($G$6/365)),$D$10*EXP(-$E$6*($G$6/365))*NORMSDIST(-((LN($A52/$D$10)+($E$6-$F$6+$G$10^2/2)*($G$6/365))/($G$10*SQRT($G$6/365))-$G$10*SQRT($G$6/365)))-$A52*EXP(-$F$6*($G$6/365))*NORMSDIST(-((LN($A52/$D$10)+($E$6-$F$6+$G$10^2/2)*($G$6/365))/($G$10*SQRT($G$6/365)))))))</f>
        <v/>
      </c>
      <c r="L52" s="51">
        <f>IF($F$11=0,0,IF($B$11="Buy",1,-1)*$F$11*$H$6*IF($G$6&lt;=0,MAX(0,IF($C$11="Call",$A52-$D$11,$D$11-$A52)),IF($C$11="Call",$A52*EXP(-$F$6*($G$6/365))*NORMSDIST((LN($A52/$D$11)+($E$6-$F$6+$G$11^2/2)*($G$6/365))/($G$11*SQRT($G$6/365)))-$D$11*EXP(-$E$6*($G$6/365))*NORMSDIST((LN($A52/$D$11)+($E$6-$F$6+$G$11^2/2)*($G$6/365))/($G$11*SQRT($G$6/365))-$G$11*SQRT($G$6/365)),$D$11*EXP(-$E$6*($G$6/365))*NORMSDIST(-((LN($A52/$D$11)+($E$6-$F$6+$G$11^2/2)*($G$6/365))/($G$11*SQRT($G$6/365))-$G$11*SQRT($G$6/365)))-$A52*EXP(-$F$6*($G$6/365))*NORMSDIST(-((LN($A52/$D$11)+($E$6-$F$6+$G$11^2/2)*($G$6/365))/($G$11*SQRT($G$6/365)))))))</f>
        <v/>
      </c>
      <c r="M52" s="51">
        <f>IF($F$12=0,0,IF($B$12="Buy",1,-1)*$F$12*$H$6*IF($G$6&lt;=0,MAX(0,IF($C$12="Call",$A52-$D$12,$D$12-$A52)),IF($C$12="Call",$A52*EXP(-$F$6*($G$6/365))*NORMSDIST((LN($A52/$D$12)+($E$6-$F$6+$G$12^2/2)*($G$6/365))/($G$12*SQRT($G$6/365)))-$D$12*EXP(-$E$6*($G$6/365))*NORMSDIST((LN($A52/$D$12)+($E$6-$F$6+$G$12^2/2)*($G$6/365))/($G$12*SQRT($G$6/365))-$G$12*SQRT($G$6/365)),$D$12*EXP(-$E$6*($G$6/365))*NORMSDIST(-((LN($A52/$D$12)+($E$6-$F$6+$G$12^2/2)*($G$6/365))/($G$12*SQRT($G$6/365))-$G$12*SQRT($G$6/365)))-$A52*EXP(-$F$6*($G$6/365))*NORMSDIST(-((LN($A52/$D$12)+($E$6-$F$6+$G$12^2/2)*($G$6/365))/($G$12*SQRT($G$6/365)))))))</f>
        <v/>
      </c>
      <c r="N52" s="52">
        <f>K52+L52+M52+(IF($F$13=0,0,IF($B$13="Buy",1,-1)*$F$13*$H$6*IF($G$6&lt;=0,MAX(0,IF($C$13="Call",$A52-$D$13,$D$13-$A52)),IF($C$13="Call",$A52*EXP(-$F$6*($G$6/365))*NORMSDIST((LN($A52/$D$13)+($E$6-$F$6+$G$13^2/2)*($G$6/365))/($G$13*SQRT($G$6/365)))-$D$13*EXP(-$E$6*($G$6/365))*NORMSDIST((LN($A52/$D$13)+($E$6-$F$6+$G$13^2/2)*($G$6/365))/($G$13*SQRT($G$6/365))-$G$13*SQRT($G$6/365)),$D$13*EXP(-$E$6*($G$6/365))*NORMSDIST(-((LN($A52/$D$13)+($E$6-$F$6+$G$13^2/2)*($G$6/365))/($G$13*SQRT($G$6/365))-$G$13*SQRT($G$6/365)))-$A52*EXP(-$F$6*($G$6/365))*NORMSDIST(-((LN($A52/$D$13)+($E$6-$F$6+$G$13^2/2)*($G$6/365))/($G$13*SQRT($G$6/365))))))))+$I$14</f>
        <v/>
      </c>
    </row>
    <row r="53">
      <c r="A53" s="53">
        <f>A52+$D$23</f>
        <v/>
      </c>
      <c r="B53" s="54">
        <f>IF($F$10=0,0,IF($B$10="Buy",1,-1)*(MAX(0,IF($C$10="Call",$A53-$D$10,$D$10-$A53))-$E$10)*$F$10*$H$6)</f>
        <v/>
      </c>
      <c r="C53" s="54">
        <f>IF($F$11=0,0,IF($B$11="Buy",1,-1)*(MAX(0,IF($C$11="Call",$A53-$D$11,$D$11-$A53))-$E$11)*$F$11*$H$6)</f>
        <v/>
      </c>
      <c r="D53" s="54">
        <f>IF($F$12=0,0,IF($B$12="Buy",1,-1)*(MAX(0,IF($C$12="Call",$A53-$D$12,$D$12-$A53))-$E$12)*$F$12*$H$6)</f>
        <v/>
      </c>
      <c r="E53" s="54">
        <f>IF($F$13=0,0,IF($B$13="Buy",1,-1)*(MAX(0,IF($C$13="Call",$A53-$D$13,$D$13-$A53))-$E$13)*$F$13*$H$6)</f>
        <v/>
      </c>
      <c r="F53" s="54">
        <f>SUM(B53:E53)</f>
        <v/>
      </c>
      <c r="G53" s="54">
        <f>N53</f>
        <v/>
      </c>
      <c r="H53" s="9" t="n">
        <v>0</v>
      </c>
      <c r="I53" s="55">
        <f>IF($D$19=0,0,F53/$D$19)</f>
        <v/>
      </c>
      <c r="K53" s="51">
        <f>IF($F$10=0,0,IF($B$10="Buy",1,-1)*$F$10*$H$6*IF($G$6&lt;=0,MAX(0,IF($C$10="Call",$A53-$D$10,$D$10-$A53)),IF($C$10="Call",$A53*EXP(-$F$6*($G$6/365))*NORMSDIST((LN($A53/$D$10)+($E$6-$F$6+$G$10^2/2)*($G$6/365))/($G$10*SQRT($G$6/365)))-$D$10*EXP(-$E$6*($G$6/365))*NORMSDIST((LN($A53/$D$10)+($E$6-$F$6+$G$10^2/2)*($G$6/365))/($G$10*SQRT($G$6/365))-$G$10*SQRT($G$6/365)),$D$10*EXP(-$E$6*($G$6/365))*NORMSDIST(-((LN($A53/$D$10)+($E$6-$F$6+$G$10^2/2)*($G$6/365))/($G$10*SQRT($G$6/365))-$G$10*SQRT($G$6/365)))-$A53*EXP(-$F$6*($G$6/365))*NORMSDIST(-((LN($A53/$D$10)+($E$6-$F$6+$G$10^2/2)*($G$6/365))/($G$10*SQRT($G$6/365)))))))</f>
        <v/>
      </c>
      <c r="L53" s="51">
        <f>IF($F$11=0,0,IF($B$11="Buy",1,-1)*$F$11*$H$6*IF($G$6&lt;=0,MAX(0,IF($C$11="Call",$A53-$D$11,$D$11-$A53)),IF($C$11="Call",$A53*EXP(-$F$6*($G$6/365))*NORMSDIST((LN($A53/$D$11)+($E$6-$F$6+$G$11^2/2)*($G$6/365))/($G$11*SQRT($G$6/365)))-$D$11*EXP(-$E$6*($G$6/365))*NORMSDIST((LN($A53/$D$11)+($E$6-$F$6+$G$11^2/2)*($G$6/365))/($G$11*SQRT($G$6/365))-$G$11*SQRT($G$6/365)),$D$11*EXP(-$E$6*($G$6/365))*NORMSDIST(-((LN($A53/$D$11)+($E$6-$F$6+$G$11^2/2)*($G$6/365))/($G$11*SQRT($G$6/365))-$G$11*SQRT($G$6/365)))-$A53*EXP(-$F$6*($G$6/365))*NORMSDIST(-((LN($A53/$D$11)+($E$6-$F$6+$G$11^2/2)*($G$6/365))/($G$11*SQRT($G$6/365)))))))</f>
        <v/>
      </c>
      <c r="M53" s="51">
        <f>IF($F$12=0,0,IF($B$12="Buy",1,-1)*$F$12*$H$6*IF($G$6&lt;=0,MAX(0,IF($C$12="Call",$A53-$D$12,$D$12-$A53)),IF($C$12="Call",$A53*EXP(-$F$6*($G$6/365))*NORMSDIST((LN($A53/$D$12)+($E$6-$F$6+$G$12^2/2)*($G$6/365))/($G$12*SQRT($G$6/365)))-$D$12*EXP(-$E$6*($G$6/365))*NORMSDIST((LN($A53/$D$12)+($E$6-$F$6+$G$12^2/2)*($G$6/365))/($G$12*SQRT($G$6/365))-$G$12*SQRT($G$6/365)),$D$12*EXP(-$E$6*($G$6/365))*NORMSDIST(-((LN($A53/$D$12)+($E$6-$F$6+$G$12^2/2)*($G$6/365))/($G$12*SQRT($G$6/365))-$G$12*SQRT($G$6/365)))-$A53*EXP(-$F$6*($G$6/365))*NORMSDIST(-((LN($A53/$D$12)+($E$6-$F$6+$G$12^2/2)*($G$6/365))/($G$12*SQRT($G$6/365)))))))</f>
        <v/>
      </c>
      <c r="N53" s="52">
        <f>K53+L53+M53+(IF($F$13=0,0,IF($B$13="Buy",1,-1)*$F$13*$H$6*IF($G$6&lt;=0,MAX(0,IF($C$13="Call",$A53-$D$13,$D$13-$A53)),IF($C$13="Call",$A53*EXP(-$F$6*($G$6/365))*NORMSDIST((LN($A53/$D$13)+($E$6-$F$6+$G$13^2/2)*($G$6/365))/($G$13*SQRT($G$6/365)))-$D$13*EXP(-$E$6*($G$6/365))*NORMSDIST((LN($A53/$D$13)+($E$6-$F$6+$G$13^2/2)*($G$6/365))/($G$13*SQRT($G$6/365))-$G$13*SQRT($G$6/365)),$D$13*EXP(-$E$6*($G$6/365))*NORMSDIST(-((LN($A53/$D$13)+($E$6-$F$6+$G$13^2/2)*($G$6/365))/($G$13*SQRT($G$6/365))-$G$13*SQRT($G$6/365)))-$A53*EXP(-$F$6*($G$6/365))*NORMSDIST(-((LN($A53/$D$13)+($E$6-$F$6+$G$13^2/2)*($G$6/365))/($G$13*SQRT($G$6/365))))))))+$I$14</f>
        <v/>
      </c>
    </row>
    <row r="54">
      <c r="A54" s="48">
        <f>A53+$D$23</f>
        <v/>
      </c>
      <c r="B54" s="49">
        <f>IF($F$10=0,0,IF($B$10="Buy",1,-1)*(MAX(0,IF($C$10="Call",$A54-$D$10,$D$10-$A54))-$E$10)*$F$10*$H$6)</f>
        <v/>
      </c>
      <c r="C54" s="49">
        <f>IF($F$11=0,0,IF($B$11="Buy",1,-1)*(MAX(0,IF($C$11="Call",$A54-$D$11,$D$11-$A54))-$E$11)*$F$11*$H$6)</f>
        <v/>
      </c>
      <c r="D54" s="49">
        <f>IF($F$12=0,0,IF($B$12="Buy",1,-1)*(MAX(0,IF($C$12="Call",$A54-$D$12,$D$12-$A54))-$E$12)*$F$12*$H$6)</f>
        <v/>
      </c>
      <c r="E54" s="49">
        <f>IF($F$13=0,0,IF($B$13="Buy",1,-1)*(MAX(0,IF($C$13="Call",$A54-$D$13,$D$13-$A54))-$E$13)*$F$13*$H$6)</f>
        <v/>
      </c>
      <c r="F54" s="49">
        <f>SUM(B54:E54)</f>
        <v/>
      </c>
      <c r="G54" s="49">
        <f>N54</f>
        <v/>
      </c>
      <c r="H54" s="6" t="n">
        <v>0</v>
      </c>
      <c r="I54" s="50">
        <f>IF($D$19=0,0,F54/$D$19)</f>
        <v/>
      </c>
      <c r="K54" s="51">
        <f>IF($F$10=0,0,IF($B$10="Buy",1,-1)*$F$10*$H$6*IF($G$6&lt;=0,MAX(0,IF($C$10="Call",$A54-$D$10,$D$10-$A54)),IF($C$10="Call",$A54*EXP(-$F$6*($G$6/365))*NORMSDIST((LN($A54/$D$10)+($E$6-$F$6+$G$10^2/2)*($G$6/365))/($G$10*SQRT($G$6/365)))-$D$10*EXP(-$E$6*($G$6/365))*NORMSDIST((LN($A54/$D$10)+($E$6-$F$6+$G$10^2/2)*($G$6/365))/($G$10*SQRT($G$6/365))-$G$10*SQRT($G$6/365)),$D$10*EXP(-$E$6*($G$6/365))*NORMSDIST(-((LN($A54/$D$10)+($E$6-$F$6+$G$10^2/2)*($G$6/365))/($G$10*SQRT($G$6/365))-$G$10*SQRT($G$6/365)))-$A54*EXP(-$F$6*($G$6/365))*NORMSDIST(-((LN($A54/$D$10)+($E$6-$F$6+$G$10^2/2)*($G$6/365))/($G$10*SQRT($G$6/365)))))))</f>
        <v/>
      </c>
      <c r="L54" s="51">
        <f>IF($F$11=0,0,IF($B$11="Buy",1,-1)*$F$11*$H$6*IF($G$6&lt;=0,MAX(0,IF($C$11="Call",$A54-$D$11,$D$11-$A54)),IF($C$11="Call",$A54*EXP(-$F$6*($G$6/365))*NORMSDIST((LN($A54/$D$11)+($E$6-$F$6+$G$11^2/2)*($G$6/365))/($G$11*SQRT($G$6/365)))-$D$11*EXP(-$E$6*($G$6/365))*NORMSDIST((LN($A54/$D$11)+($E$6-$F$6+$G$11^2/2)*($G$6/365))/($G$11*SQRT($G$6/365))-$G$11*SQRT($G$6/365)),$D$11*EXP(-$E$6*($G$6/365))*NORMSDIST(-((LN($A54/$D$11)+($E$6-$F$6+$G$11^2/2)*($G$6/365))/($G$11*SQRT($G$6/365))-$G$11*SQRT($G$6/365)))-$A54*EXP(-$F$6*($G$6/365))*NORMSDIST(-((LN($A54/$D$11)+($E$6-$F$6+$G$11^2/2)*($G$6/365))/($G$11*SQRT($G$6/365)))))))</f>
        <v/>
      </c>
      <c r="M54" s="51">
        <f>IF($F$12=0,0,IF($B$12="Buy",1,-1)*$F$12*$H$6*IF($G$6&lt;=0,MAX(0,IF($C$12="Call",$A54-$D$12,$D$12-$A54)),IF($C$12="Call",$A54*EXP(-$F$6*($G$6/365))*NORMSDIST((LN($A54/$D$12)+($E$6-$F$6+$G$12^2/2)*($G$6/365))/($G$12*SQRT($G$6/365)))-$D$12*EXP(-$E$6*($G$6/365))*NORMSDIST((LN($A54/$D$12)+($E$6-$F$6+$G$12^2/2)*($G$6/365))/($G$12*SQRT($G$6/365))-$G$12*SQRT($G$6/365)),$D$12*EXP(-$E$6*($G$6/365))*NORMSDIST(-((LN($A54/$D$12)+($E$6-$F$6+$G$12^2/2)*($G$6/365))/($G$12*SQRT($G$6/365))-$G$12*SQRT($G$6/365)))-$A54*EXP(-$F$6*($G$6/365))*NORMSDIST(-((LN($A54/$D$12)+($E$6-$F$6+$G$12^2/2)*($G$6/365))/($G$12*SQRT($G$6/365)))))))</f>
        <v/>
      </c>
      <c r="N54" s="52">
        <f>K54+L54+M54+(IF($F$13=0,0,IF($B$13="Buy",1,-1)*$F$13*$H$6*IF($G$6&lt;=0,MAX(0,IF($C$13="Call",$A54-$D$13,$D$13-$A54)),IF($C$13="Call",$A54*EXP(-$F$6*($G$6/365))*NORMSDIST((LN($A54/$D$13)+($E$6-$F$6+$G$13^2/2)*($G$6/365))/($G$13*SQRT($G$6/365)))-$D$13*EXP(-$E$6*($G$6/365))*NORMSDIST((LN($A54/$D$13)+($E$6-$F$6+$G$13^2/2)*($G$6/365))/($G$13*SQRT($G$6/365))-$G$13*SQRT($G$6/365)),$D$13*EXP(-$E$6*($G$6/365))*NORMSDIST(-((LN($A54/$D$13)+($E$6-$F$6+$G$13^2/2)*($G$6/365))/($G$13*SQRT($G$6/365))-$G$13*SQRT($G$6/365)))-$A54*EXP(-$F$6*($G$6/365))*NORMSDIST(-((LN($A54/$D$13)+($E$6-$F$6+$G$13^2/2)*($G$6/365))/($G$13*SQRT($G$6/365))))))))+$I$14</f>
        <v/>
      </c>
    </row>
    <row r="55">
      <c r="A55" s="53">
        <f>A54+$D$23</f>
        <v/>
      </c>
      <c r="B55" s="54">
        <f>IF($F$10=0,0,IF($B$10="Buy",1,-1)*(MAX(0,IF($C$10="Call",$A55-$D$10,$D$10-$A55))-$E$10)*$F$10*$H$6)</f>
        <v/>
      </c>
      <c r="C55" s="54">
        <f>IF($F$11=0,0,IF($B$11="Buy",1,-1)*(MAX(0,IF($C$11="Call",$A55-$D$11,$D$11-$A55))-$E$11)*$F$11*$H$6)</f>
        <v/>
      </c>
      <c r="D55" s="54">
        <f>IF($F$12=0,0,IF($B$12="Buy",1,-1)*(MAX(0,IF($C$12="Call",$A55-$D$12,$D$12-$A55))-$E$12)*$F$12*$H$6)</f>
        <v/>
      </c>
      <c r="E55" s="54">
        <f>IF($F$13=0,0,IF($B$13="Buy",1,-1)*(MAX(0,IF($C$13="Call",$A55-$D$13,$D$13-$A55))-$E$13)*$F$13*$H$6)</f>
        <v/>
      </c>
      <c r="F55" s="54">
        <f>SUM(B55:E55)</f>
        <v/>
      </c>
      <c r="G55" s="54">
        <f>N55</f>
        <v/>
      </c>
      <c r="H55" s="9" t="n">
        <v>0</v>
      </c>
      <c r="I55" s="55">
        <f>IF($D$19=0,0,F55/$D$19)</f>
        <v/>
      </c>
      <c r="K55" s="51">
        <f>IF($F$10=0,0,IF($B$10="Buy",1,-1)*$F$10*$H$6*IF($G$6&lt;=0,MAX(0,IF($C$10="Call",$A55-$D$10,$D$10-$A55)),IF($C$10="Call",$A55*EXP(-$F$6*($G$6/365))*NORMSDIST((LN($A55/$D$10)+($E$6-$F$6+$G$10^2/2)*($G$6/365))/($G$10*SQRT($G$6/365)))-$D$10*EXP(-$E$6*($G$6/365))*NORMSDIST((LN($A55/$D$10)+($E$6-$F$6+$G$10^2/2)*($G$6/365))/($G$10*SQRT($G$6/365))-$G$10*SQRT($G$6/365)),$D$10*EXP(-$E$6*($G$6/365))*NORMSDIST(-((LN($A55/$D$10)+($E$6-$F$6+$G$10^2/2)*($G$6/365))/($G$10*SQRT($G$6/365))-$G$10*SQRT($G$6/365)))-$A55*EXP(-$F$6*($G$6/365))*NORMSDIST(-((LN($A55/$D$10)+($E$6-$F$6+$G$10^2/2)*($G$6/365))/($G$10*SQRT($G$6/365)))))))</f>
        <v/>
      </c>
      <c r="L55" s="51">
        <f>IF($F$11=0,0,IF($B$11="Buy",1,-1)*$F$11*$H$6*IF($G$6&lt;=0,MAX(0,IF($C$11="Call",$A55-$D$11,$D$11-$A55)),IF($C$11="Call",$A55*EXP(-$F$6*($G$6/365))*NORMSDIST((LN($A55/$D$11)+($E$6-$F$6+$G$11^2/2)*($G$6/365))/($G$11*SQRT($G$6/365)))-$D$11*EXP(-$E$6*($G$6/365))*NORMSDIST((LN($A55/$D$11)+($E$6-$F$6+$G$11^2/2)*($G$6/365))/($G$11*SQRT($G$6/365))-$G$11*SQRT($G$6/365)),$D$11*EXP(-$E$6*($G$6/365))*NORMSDIST(-((LN($A55/$D$11)+($E$6-$F$6+$G$11^2/2)*($G$6/365))/($G$11*SQRT($G$6/365))-$G$11*SQRT($G$6/365)))-$A55*EXP(-$F$6*($G$6/365))*NORMSDIST(-((LN($A55/$D$11)+($E$6-$F$6+$G$11^2/2)*($G$6/365))/($G$11*SQRT($G$6/365)))))))</f>
        <v/>
      </c>
      <c r="M55" s="51">
        <f>IF($F$12=0,0,IF($B$12="Buy",1,-1)*$F$12*$H$6*IF($G$6&lt;=0,MAX(0,IF($C$12="Call",$A55-$D$12,$D$12-$A55)),IF($C$12="Call",$A55*EXP(-$F$6*($G$6/365))*NORMSDIST((LN($A55/$D$12)+($E$6-$F$6+$G$12^2/2)*($G$6/365))/($G$12*SQRT($G$6/365)))-$D$12*EXP(-$E$6*($G$6/365))*NORMSDIST((LN($A55/$D$12)+($E$6-$F$6+$G$12^2/2)*($G$6/365))/($G$12*SQRT($G$6/365))-$G$12*SQRT($G$6/365)),$D$12*EXP(-$E$6*($G$6/365))*NORMSDIST(-((LN($A55/$D$12)+($E$6-$F$6+$G$12^2/2)*($G$6/365))/($G$12*SQRT($G$6/365))-$G$12*SQRT($G$6/365)))-$A55*EXP(-$F$6*($G$6/365))*NORMSDIST(-((LN($A55/$D$12)+($E$6-$F$6+$G$12^2/2)*($G$6/365))/($G$12*SQRT($G$6/365)))))))</f>
        <v/>
      </c>
      <c r="N55" s="52">
        <f>K55+L55+M55+(IF($F$13=0,0,IF($B$13="Buy",1,-1)*$F$13*$H$6*IF($G$6&lt;=0,MAX(0,IF($C$13="Call",$A55-$D$13,$D$13-$A55)),IF($C$13="Call",$A55*EXP(-$F$6*($G$6/365))*NORMSDIST((LN($A55/$D$13)+($E$6-$F$6+$G$13^2/2)*($G$6/365))/($G$13*SQRT($G$6/365)))-$D$13*EXP(-$E$6*($G$6/365))*NORMSDIST((LN($A55/$D$13)+($E$6-$F$6+$G$13^2/2)*($G$6/365))/($G$13*SQRT($G$6/365))-$G$13*SQRT($G$6/365)),$D$13*EXP(-$E$6*($G$6/365))*NORMSDIST(-((LN($A55/$D$13)+($E$6-$F$6+$G$13^2/2)*($G$6/365))/($G$13*SQRT($G$6/365))-$G$13*SQRT($G$6/365)))-$A55*EXP(-$F$6*($G$6/365))*NORMSDIST(-((LN($A55/$D$13)+($E$6-$F$6+$G$13^2/2)*($G$6/365))/($G$13*SQRT($G$6/365))))))))+$I$14</f>
        <v/>
      </c>
    </row>
    <row r="56">
      <c r="A56" s="48">
        <f>A55+$D$23</f>
        <v/>
      </c>
      <c r="B56" s="49">
        <f>IF($F$10=0,0,IF($B$10="Buy",1,-1)*(MAX(0,IF($C$10="Call",$A56-$D$10,$D$10-$A56))-$E$10)*$F$10*$H$6)</f>
        <v/>
      </c>
      <c r="C56" s="49">
        <f>IF($F$11=0,0,IF($B$11="Buy",1,-1)*(MAX(0,IF($C$11="Call",$A56-$D$11,$D$11-$A56))-$E$11)*$F$11*$H$6)</f>
        <v/>
      </c>
      <c r="D56" s="49">
        <f>IF($F$12=0,0,IF($B$12="Buy",1,-1)*(MAX(0,IF($C$12="Call",$A56-$D$12,$D$12-$A56))-$E$12)*$F$12*$H$6)</f>
        <v/>
      </c>
      <c r="E56" s="49">
        <f>IF($F$13=0,0,IF($B$13="Buy",1,-1)*(MAX(0,IF($C$13="Call",$A56-$D$13,$D$13-$A56))-$E$13)*$F$13*$H$6)</f>
        <v/>
      </c>
      <c r="F56" s="49">
        <f>SUM(B56:E56)</f>
        <v/>
      </c>
      <c r="G56" s="49">
        <f>N56</f>
        <v/>
      </c>
      <c r="H56" s="6" t="n">
        <v>0</v>
      </c>
      <c r="I56" s="50">
        <f>IF($D$19=0,0,F56/$D$19)</f>
        <v/>
      </c>
      <c r="K56" s="51">
        <f>IF($F$10=0,0,IF($B$10="Buy",1,-1)*$F$10*$H$6*IF($G$6&lt;=0,MAX(0,IF($C$10="Call",$A56-$D$10,$D$10-$A56)),IF($C$10="Call",$A56*EXP(-$F$6*($G$6/365))*NORMSDIST((LN($A56/$D$10)+($E$6-$F$6+$G$10^2/2)*($G$6/365))/($G$10*SQRT($G$6/365)))-$D$10*EXP(-$E$6*($G$6/365))*NORMSDIST((LN($A56/$D$10)+($E$6-$F$6+$G$10^2/2)*($G$6/365))/($G$10*SQRT($G$6/365))-$G$10*SQRT($G$6/365)),$D$10*EXP(-$E$6*($G$6/365))*NORMSDIST(-((LN($A56/$D$10)+($E$6-$F$6+$G$10^2/2)*($G$6/365))/($G$10*SQRT($G$6/365))-$G$10*SQRT($G$6/365)))-$A56*EXP(-$F$6*($G$6/365))*NORMSDIST(-((LN($A56/$D$10)+($E$6-$F$6+$G$10^2/2)*($G$6/365))/($G$10*SQRT($G$6/365)))))))</f>
        <v/>
      </c>
      <c r="L56" s="51">
        <f>IF($F$11=0,0,IF($B$11="Buy",1,-1)*$F$11*$H$6*IF($G$6&lt;=0,MAX(0,IF($C$11="Call",$A56-$D$11,$D$11-$A56)),IF($C$11="Call",$A56*EXP(-$F$6*($G$6/365))*NORMSDIST((LN($A56/$D$11)+($E$6-$F$6+$G$11^2/2)*($G$6/365))/($G$11*SQRT($G$6/365)))-$D$11*EXP(-$E$6*($G$6/365))*NORMSDIST((LN($A56/$D$11)+($E$6-$F$6+$G$11^2/2)*($G$6/365))/($G$11*SQRT($G$6/365))-$G$11*SQRT($G$6/365)),$D$11*EXP(-$E$6*($G$6/365))*NORMSDIST(-((LN($A56/$D$11)+($E$6-$F$6+$G$11^2/2)*($G$6/365))/($G$11*SQRT($G$6/365))-$G$11*SQRT($G$6/365)))-$A56*EXP(-$F$6*($G$6/365))*NORMSDIST(-((LN($A56/$D$11)+($E$6-$F$6+$G$11^2/2)*($G$6/365))/($G$11*SQRT($G$6/365)))))))</f>
        <v/>
      </c>
      <c r="M56" s="51">
        <f>IF($F$12=0,0,IF($B$12="Buy",1,-1)*$F$12*$H$6*IF($G$6&lt;=0,MAX(0,IF($C$12="Call",$A56-$D$12,$D$12-$A56)),IF($C$12="Call",$A56*EXP(-$F$6*($G$6/365))*NORMSDIST((LN($A56/$D$12)+($E$6-$F$6+$G$12^2/2)*($G$6/365))/($G$12*SQRT($G$6/365)))-$D$12*EXP(-$E$6*($G$6/365))*NORMSDIST((LN($A56/$D$12)+($E$6-$F$6+$G$12^2/2)*($G$6/365))/($G$12*SQRT($G$6/365))-$G$12*SQRT($G$6/365)),$D$12*EXP(-$E$6*($G$6/365))*NORMSDIST(-((LN($A56/$D$12)+($E$6-$F$6+$G$12^2/2)*($G$6/365))/($G$12*SQRT($G$6/365))-$G$12*SQRT($G$6/365)))-$A56*EXP(-$F$6*($G$6/365))*NORMSDIST(-((LN($A56/$D$12)+($E$6-$F$6+$G$12^2/2)*($G$6/365))/($G$12*SQRT($G$6/365)))))))</f>
        <v/>
      </c>
      <c r="N56" s="52">
        <f>K56+L56+M56+(IF($F$13=0,0,IF($B$13="Buy",1,-1)*$F$13*$H$6*IF($G$6&lt;=0,MAX(0,IF($C$13="Call",$A56-$D$13,$D$13-$A56)),IF($C$13="Call",$A56*EXP(-$F$6*($G$6/365))*NORMSDIST((LN($A56/$D$13)+($E$6-$F$6+$G$13^2/2)*($G$6/365))/($G$13*SQRT($G$6/365)))-$D$13*EXP(-$E$6*($G$6/365))*NORMSDIST((LN($A56/$D$13)+($E$6-$F$6+$G$13^2/2)*($G$6/365))/($G$13*SQRT($G$6/365))-$G$13*SQRT($G$6/365)),$D$13*EXP(-$E$6*($G$6/365))*NORMSDIST(-((LN($A56/$D$13)+($E$6-$F$6+$G$13^2/2)*($G$6/365))/($G$13*SQRT($G$6/365))-$G$13*SQRT($G$6/365)))-$A56*EXP(-$F$6*($G$6/365))*NORMSDIST(-((LN($A56/$D$13)+($E$6-$F$6+$G$13^2/2)*($G$6/365))/($G$13*SQRT($G$6/365))))))))+$I$14</f>
        <v/>
      </c>
    </row>
    <row r="57">
      <c r="A57" s="53">
        <f>A56+$D$23</f>
        <v/>
      </c>
      <c r="B57" s="54">
        <f>IF($F$10=0,0,IF($B$10="Buy",1,-1)*(MAX(0,IF($C$10="Call",$A57-$D$10,$D$10-$A57))-$E$10)*$F$10*$H$6)</f>
        <v/>
      </c>
      <c r="C57" s="54">
        <f>IF($F$11=0,0,IF($B$11="Buy",1,-1)*(MAX(0,IF($C$11="Call",$A57-$D$11,$D$11-$A57))-$E$11)*$F$11*$H$6)</f>
        <v/>
      </c>
      <c r="D57" s="54">
        <f>IF($F$12=0,0,IF($B$12="Buy",1,-1)*(MAX(0,IF($C$12="Call",$A57-$D$12,$D$12-$A57))-$E$12)*$F$12*$H$6)</f>
        <v/>
      </c>
      <c r="E57" s="54">
        <f>IF($F$13=0,0,IF($B$13="Buy",1,-1)*(MAX(0,IF($C$13="Call",$A57-$D$13,$D$13-$A57))-$E$13)*$F$13*$H$6)</f>
        <v/>
      </c>
      <c r="F57" s="54">
        <f>SUM(B57:E57)</f>
        <v/>
      </c>
      <c r="G57" s="54">
        <f>N57</f>
        <v/>
      </c>
      <c r="H57" s="9" t="n">
        <v>0</v>
      </c>
      <c r="I57" s="55">
        <f>IF($D$19=0,0,F57/$D$19)</f>
        <v/>
      </c>
      <c r="K57" s="51">
        <f>IF($F$10=0,0,IF($B$10="Buy",1,-1)*$F$10*$H$6*IF($G$6&lt;=0,MAX(0,IF($C$10="Call",$A57-$D$10,$D$10-$A57)),IF($C$10="Call",$A57*EXP(-$F$6*($G$6/365))*NORMSDIST((LN($A57/$D$10)+($E$6-$F$6+$G$10^2/2)*($G$6/365))/($G$10*SQRT($G$6/365)))-$D$10*EXP(-$E$6*($G$6/365))*NORMSDIST((LN($A57/$D$10)+($E$6-$F$6+$G$10^2/2)*($G$6/365))/($G$10*SQRT($G$6/365))-$G$10*SQRT($G$6/365)),$D$10*EXP(-$E$6*($G$6/365))*NORMSDIST(-((LN($A57/$D$10)+($E$6-$F$6+$G$10^2/2)*($G$6/365))/($G$10*SQRT($G$6/365))-$G$10*SQRT($G$6/365)))-$A57*EXP(-$F$6*($G$6/365))*NORMSDIST(-((LN($A57/$D$10)+($E$6-$F$6+$G$10^2/2)*($G$6/365))/($G$10*SQRT($G$6/365)))))))</f>
        <v/>
      </c>
      <c r="L57" s="51">
        <f>IF($F$11=0,0,IF($B$11="Buy",1,-1)*$F$11*$H$6*IF($G$6&lt;=0,MAX(0,IF($C$11="Call",$A57-$D$11,$D$11-$A57)),IF($C$11="Call",$A57*EXP(-$F$6*($G$6/365))*NORMSDIST((LN($A57/$D$11)+($E$6-$F$6+$G$11^2/2)*($G$6/365))/($G$11*SQRT($G$6/365)))-$D$11*EXP(-$E$6*($G$6/365))*NORMSDIST((LN($A57/$D$11)+($E$6-$F$6+$G$11^2/2)*($G$6/365))/($G$11*SQRT($G$6/365))-$G$11*SQRT($G$6/365)),$D$11*EXP(-$E$6*($G$6/365))*NORMSDIST(-((LN($A57/$D$11)+($E$6-$F$6+$G$11^2/2)*($G$6/365))/($G$11*SQRT($G$6/365))-$G$11*SQRT($G$6/365)))-$A57*EXP(-$F$6*($G$6/365))*NORMSDIST(-((LN($A57/$D$11)+($E$6-$F$6+$G$11^2/2)*($G$6/365))/($G$11*SQRT($G$6/365)))))))</f>
        <v/>
      </c>
      <c r="M57" s="51">
        <f>IF($F$12=0,0,IF($B$12="Buy",1,-1)*$F$12*$H$6*IF($G$6&lt;=0,MAX(0,IF($C$12="Call",$A57-$D$12,$D$12-$A57)),IF($C$12="Call",$A57*EXP(-$F$6*($G$6/365))*NORMSDIST((LN($A57/$D$12)+($E$6-$F$6+$G$12^2/2)*($G$6/365))/($G$12*SQRT($G$6/365)))-$D$12*EXP(-$E$6*($G$6/365))*NORMSDIST((LN($A57/$D$12)+($E$6-$F$6+$G$12^2/2)*($G$6/365))/($G$12*SQRT($G$6/365))-$G$12*SQRT($G$6/365)),$D$12*EXP(-$E$6*($G$6/365))*NORMSDIST(-((LN($A57/$D$12)+($E$6-$F$6+$G$12^2/2)*($G$6/365))/($G$12*SQRT($G$6/365))-$G$12*SQRT($G$6/365)))-$A57*EXP(-$F$6*($G$6/365))*NORMSDIST(-((LN($A57/$D$12)+($E$6-$F$6+$G$12^2/2)*($G$6/365))/($G$12*SQRT($G$6/365)))))))</f>
        <v/>
      </c>
      <c r="N57" s="52">
        <f>K57+L57+M57+(IF($F$13=0,0,IF($B$13="Buy",1,-1)*$F$13*$H$6*IF($G$6&lt;=0,MAX(0,IF($C$13="Call",$A57-$D$13,$D$13-$A57)),IF($C$13="Call",$A57*EXP(-$F$6*($G$6/365))*NORMSDIST((LN($A57/$D$13)+($E$6-$F$6+$G$13^2/2)*($G$6/365))/($G$13*SQRT($G$6/365)))-$D$13*EXP(-$E$6*($G$6/365))*NORMSDIST((LN($A57/$D$13)+($E$6-$F$6+$G$13^2/2)*($G$6/365))/($G$13*SQRT($G$6/365))-$G$13*SQRT($G$6/365)),$D$13*EXP(-$E$6*($G$6/365))*NORMSDIST(-((LN($A57/$D$13)+($E$6-$F$6+$G$13^2/2)*($G$6/365))/($G$13*SQRT($G$6/365))-$G$13*SQRT($G$6/365)))-$A57*EXP(-$F$6*($G$6/365))*NORMSDIST(-((LN($A57/$D$13)+($E$6-$F$6+$G$13^2/2)*($G$6/365))/($G$13*SQRT($G$6/365))))))))+$I$14</f>
        <v/>
      </c>
    </row>
    <row r="58">
      <c r="A58" s="48">
        <f>A57+$D$23</f>
        <v/>
      </c>
      <c r="B58" s="49">
        <f>IF($F$10=0,0,IF($B$10="Buy",1,-1)*(MAX(0,IF($C$10="Call",$A58-$D$10,$D$10-$A58))-$E$10)*$F$10*$H$6)</f>
        <v/>
      </c>
      <c r="C58" s="49">
        <f>IF($F$11=0,0,IF($B$11="Buy",1,-1)*(MAX(0,IF($C$11="Call",$A58-$D$11,$D$11-$A58))-$E$11)*$F$11*$H$6)</f>
        <v/>
      </c>
      <c r="D58" s="49">
        <f>IF($F$12=0,0,IF($B$12="Buy",1,-1)*(MAX(0,IF($C$12="Call",$A58-$D$12,$D$12-$A58))-$E$12)*$F$12*$H$6)</f>
        <v/>
      </c>
      <c r="E58" s="49">
        <f>IF($F$13=0,0,IF($B$13="Buy",1,-1)*(MAX(0,IF($C$13="Call",$A58-$D$13,$D$13-$A58))-$E$13)*$F$13*$H$6)</f>
        <v/>
      </c>
      <c r="F58" s="49">
        <f>SUM(B58:E58)</f>
        <v/>
      </c>
      <c r="G58" s="49">
        <f>N58</f>
        <v/>
      </c>
      <c r="H58" s="6" t="n">
        <v>0</v>
      </c>
      <c r="I58" s="50">
        <f>IF($D$19=0,0,F58/$D$19)</f>
        <v/>
      </c>
      <c r="K58" s="51">
        <f>IF($F$10=0,0,IF($B$10="Buy",1,-1)*$F$10*$H$6*IF($G$6&lt;=0,MAX(0,IF($C$10="Call",$A58-$D$10,$D$10-$A58)),IF($C$10="Call",$A58*EXP(-$F$6*($G$6/365))*NORMSDIST((LN($A58/$D$10)+($E$6-$F$6+$G$10^2/2)*($G$6/365))/($G$10*SQRT($G$6/365)))-$D$10*EXP(-$E$6*($G$6/365))*NORMSDIST((LN($A58/$D$10)+($E$6-$F$6+$G$10^2/2)*($G$6/365))/($G$10*SQRT($G$6/365))-$G$10*SQRT($G$6/365)),$D$10*EXP(-$E$6*($G$6/365))*NORMSDIST(-((LN($A58/$D$10)+($E$6-$F$6+$G$10^2/2)*($G$6/365))/($G$10*SQRT($G$6/365))-$G$10*SQRT($G$6/365)))-$A58*EXP(-$F$6*($G$6/365))*NORMSDIST(-((LN($A58/$D$10)+($E$6-$F$6+$G$10^2/2)*($G$6/365))/($G$10*SQRT($G$6/365)))))))</f>
        <v/>
      </c>
      <c r="L58" s="51">
        <f>IF($F$11=0,0,IF($B$11="Buy",1,-1)*$F$11*$H$6*IF($G$6&lt;=0,MAX(0,IF($C$11="Call",$A58-$D$11,$D$11-$A58)),IF($C$11="Call",$A58*EXP(-$F$6*($G$6/365))*NORMSDIST((LN($A58/$D$11)+($E$6-$F$6+$G$11^2/2)*($G$6/365))/($G$11*SQRT($G$6/365)))-$D$11*EXP(-$E$6*($G$6/365))*NORMSDIST((LN($A58/$D$11)+($E$6-$F$6+$G$11^2/2)*($G$6/365))/($G$11*SQRT($G$6/365))-$G$11*SQRT($G$6/365)),$D$11*EXP(-$E$6*($G$6/365))*NORMSDIST(-((LN($A58/$D$11)+($E$6-$F$6+$G$11^2/2)*($G$6/365))/($G$11*SQRT($G$6/365))-$G$11*SQRT($G$6/365)))-$A58*EXP(-$F$6*($G$6/365))*NORMSDIST(-((LN($A58/$D$11)+($E$6-$F$6+$G$11^2/2)*($G$6/365))/($G$11*SQRT($G$6/365)))))))</f>
        <v/>
      </c>
      <c r="M58" s="51">
        <f>IF($F$12=0,0,IF($B$12="Buy",1,-1)*$F$12*$H$6*IF($G$6&lt;=0,MAX(0,IF($C$12="Call",$A58-$D$12,$D$12-$A58)),IF($C$12="Call",$A58*EXP(-$F$6*($G$6/365))*NORMSDIST((LN($A58/$D$12)+($E$6-$F$6+$G$12^2/2)*($G$6/365))/($G$12*SQRT($G$6/365)))-$D$12*EXP(-$E$6*($G$6/365))*NORMSDIST((LN($A58/$D$12)+($E$6-$F$6+$G$12^2/2)*($G$6/365))/($G$12*SQRT($G$6/365))-$G$12*SQRT($G$6/365)),$D$12*EXP(-$E$6*($G$6/365))*NORMSDIST(-((LN($A58/$D$12)+($E$6-$F$6+$G$12^2/2)*($G$6/365))/($G$12*SQRT($G$6/365))-$G$12*SQRT($G$6/365)))-$A58*EXP(-$F$6*($G$6/365))*NORMSDIST(-((LN($A58/$D$12)+($E$6-$F$6+$G$12^2/2)*($G$6/365))/($G$12*SQRT($G$6/365)))))))</f>
        <v/>
      </c>
      <c r="N58" s="52">
        <f>K58+L58+M58+(IF($F$13=0,0,IF($B$13="Buy",1,-1)*$F$13*$H$6*IF($G$6&lt;=0,MAX(0,IF($C$13="Call",$A58-$D$13,$D$13-$A58)),IF($C$13="Call",$A58*EXP(-$F$6*($G$6/365))*NORMSDIST((LN($A58/$D$13)+($E$6-$F$6+$G$13^2/2)*($G$6/365))/($G$13*SQRT($G$6/365)))-$D$13*EXP(-$E$6*($G$6/365))*NORMSDIST((LN($A58/$D$13)+($E$6-$F$6+$G$13^2/2)*($G$6/365))/($G$13*SQRT($G$6/365))-$G$13*SQRT($G$6/365)),$D$13*EXP(-$E$6*($G$6/365))*NORMSDIST(-((LN($A58/$D$13)+($E$6-$F$6+$G$13^2/2)*($G$6/365))/($G$13*SQRT($G$6/365))-$G$13*SQRT($G$6/365)))-$A58*EXP(-$F$6*($G$6/365))*NORMSDIST(-((LN($A58/$D$13)+($E$6-$F$6+$G$13^2/2)*($G$6/365))/($G$13*SQRT($G$6/365))))))))+$I$14</f>
        <v/>
      </c>
    </row>
    <row r="59">
      <c r="A59" s="53">
        <f>A58+$D$23</f>
        <v/>
      </c>
      <c r="B59" s="54">
        <f>IF($F$10=0,0,IF($B$10="Buy",1,-1)*(MAX(0,IF($C$10="Call",$A59-$D$10,$D$10-$A59))-$E$10)*$F$10*$H$6)</f>
        <v/>
      </c>
      <c r="C59" s="54">
        <f>IF($F$11=0,0,IF($B$11="Buy",1,-1)*(MAX(0,IF($C$11="Call",$A59-$D$11,$D$11-$A59))-$E$11)*$F$11*$H$6)</f>
        <v/>
      </c>
      <c r="D59" s="54">
        <f>IF($F$12=0,0,IF($B$12="Buy",1,-1)*(MAX(0,IF($C$12="Call",$A59-$D$12,$D$12-$A59))-$E$12)*$F$12*$H$6)</f>
        <v/>
      </c>
      <c r="E59" s="54">
        <f>IF($F$13=0,0,IF($B$13="Buy",1,-1)*(MAX(0,IF($C$13="Call",$A59-$D$13,$D$13-$A59))-$E$13)*$F$13*$H$6)</f>
        <v/>
      </c>
      <c r="F59" s="54">
        <f>SUM(B59:E59)</f>
        <v/>
      </c>
      <c r="G59" s="54">
        <f>N59</f>
        <v/>
      </c>
      <c r="H59" s="9" t="n">
        <v>0</v>
      </c>
      <c r="I59" s="55">
        <f>IF($D$19=0,0,F59/$D$19)</f>
        <v/>
      </c>
      <c r="K59" s="51">
        <f>IF($F$10=0,0,IF($B$10="Buy",1,-1)*$F$10*$H$6*IF($G$6&lt;=0,MAX(0,IF($C$10="Call",$A59-$D$10,$D$10-$A59)),IF($C$10="Call",$A59*EXP(-$F$6*($G$6/365))*NORMSDIST((LN($A59/$D$10)+($E$6-$F$6+$G$10^2/2)*($G$6/365))/($G$10*SQRT($G$6/365)))-$D$10*EXP(-$E$6*($G$6/365))*NORMSDIST((LN($A59/$D$10)+($E$6-$F$6+$G$10^2/2)*($G$6/365))/($G$10*SQRT($G$6/365))-$G$10*SQRT($G$6/365)),$D$10*EXP(-$E$6*($G$6/365))*NORMSDIST(-((LN($A59/$D$10)+($E$6-$F$6+$G$10^2/2)*($G$6/365))/($G$10*SQRT($G$6/365))-$G$10*SQRT($G$6/365)))-$A59*EXP(-$F$6*($G$6/365))*NORMSDIST(-((LN($A59/$D$10)+($E$6-$F$6+$G$10^2/2)*($G$6/365))/($G$10*SQRT($G$6/365)))))))</f>
        <v/>
      </c>
      <c r="L59" s="51">
        <f>IF($F$11=0,0,IF($B$11="Buy",1,-1)*$F$11*$H$6*IF($G$6&lt;=0,MAX(0,IF($C$11="Call",$A59-$D$11,$D$11-$A59)),IF($C$11="Call",$A59*EXP(-$F$6*($G$6/365))*NORMSDIST((LN($A59/$D$11)+($E$6-$F$6+$G$11^2/2)*($G$6/365))/($G$11*SQRT($G$6/365)))-$D$11*EXP(-$E$6*($G$6/365))*NORMSDIST((LN($A59/$D$11)+($E$6-$F$6+$G$11^2/2)*($G$6/365))/($G$11*SQRT($G$6/365))-$G$11*SQRT($G$6/365)),$D$11*EXP(-$E$6*($G$6/365))*NORMSDIST(-((LN($A59/$D$11)+($E$6-$F$6+$G$11^2/2)*($G$6/365))/($G$11*SQRT($G$6/365))-$G$11*SQRT($G$6/365)))-$A59*EXP(-$F$6*($G$6/365))*NORMSDIST(-((LN($A59/$D$11)+($E$6-$F$6+$G$11^2/2)*($G$6/365))/($G$11*SQRT($G$6/365)))))))</f>
        <v/>
      </c>
      <c r="M59" s="51">
        <f>IF($F$12=0,0,IF($B$12="Buy",1,-1)*$F$12*$H$6*IF($G$6&lt;=0,MAX(0,IF($C$12="Call",$A59-$D$12,$D$12-$A59)),IF($C$12="Call",$A59*EXP(-$F$6*($G$6/365))*NORMSDIST((LN($A59/$D$12)+($E$6-$F$6+$G$12^2/2)*($G$6/365))/($G$12*SQRT($G$6/365)))-$D$12*EXP(-$E$6*($G$6/365))*NORMSDIST((LN($A59/$D$12)+($E$6-$F$6+$G$12^2/2)*($G$6/365))/($G$12*SQRT($G$6/365))-$G$12*SQRT($G$6/365)),$D$12*EXP(-$E$6*($G$6/365))*NORMSDIST(-((LN($A59/$D$12)+($E$6-$F$6+$G$12^2/2)*($G$6/365))/($G$12*SQRT($G$6/365))-$G$12*SQRT($G$6/365)))-$A59*EXP(-$F$6*($G$6/365))*NORMSDIST(-((LN($A59/$D$12)+($E$6-$F$6+$G$12^2/2)*($G$6/365))/($G$12*SQRT($G$6/365)))))))</f>
        <v/>
      </c>
      <c r="N59" s="52">
        <f>K59+L59+M59+(IF($F$13=0,0,IF($B$13="Buy",1,-1)*$F$13*$H$6*IF($G$6&lt;=0,MAX(0,IF($C$13="Call",$A59-$D$13,$D$13-$A59)),IF($C$13="Call",$A59*EXP(-$F$6*($G$6/365))*NORMSDIST((LN($A59/$D$13)+($E$6-$F$6+$G$13^2/2)*($G$6/365))/($G$13*SQRT($G$6/365)))-$D$13*EXP(-$E$6*($G$6/365))*NORMSDIST((LN($A59/$D$13)+($E$6-$F$6+$G$13^2/2)*($G$6/365))/($G$13*SQRT($G$6/365))-$G$13*SQRT($G$6/365)),$D$13*EXP(-$E$6*($G$6/365))*NORMSDIST(-((LN($A59/$D$13)+($E$6-$F$6+$G$13^2/2)*($G$6/365))/($G$13*SQRT($G$6/365))-$G$13*SQRT($G$6/365)))-$A59*EXP(-$F$6*($G$6/365))*NORMSDIST(-((LN($A59/$D$13)+($E$6-$F$6+$G$13^2/2)*($G$6/365))/($G$13*SQRT($G$6/365))))))))+$I$14</f>
        <v/>
      </c>
    </row>
    <row r="60">
      <c r="A60" s="48">
        <f>A59+$D$23</f>
        <v/>
      </c>
      <c r="B60" s="49">
        <f>IF($F$10=0,0,IF($B$10="Buy",1,-1)*(MAX(0,IF($C$10="Call",$A60-$D$10,$D$10-$A60))-$E$10)*$F$10*$H$6)</f>
        <v/>
      </c>
      <c r="C60" s="49">
        <f>IF($F$11=0,0,IF($B$11="Buy",1,-1)*(MAX(0,IF($C$11="Call",$A60-$D$11,$D$11-$A60))-$E$11)*$F$11*$H$6)</f>
        <v/>
      </c>
      <c r="D60" s="49">
        <f>IF($F$12=0,0,IF($B$12="Buy",1,-1)*(MAX(0,IF($C$12="Call",$A60-$D$12,$D$12-$A60))-$E$12)*$F$12*$H$6)</f>
        <v/>
      </c>
      <c r="E60" s="49">
        <f>IF($F$13=0,0,IF($B$13="Buy",1,-1)*(MAX(0,IF($C$13="Call",$A60-$D$13,$D$13-$A60))-$E$13)*$F$13*$H$6)</f>
        <v/>
      </c>
      <c r="F60" s="49">
        <f>SUM(B60:E60)</f>
        <v/>
      </c>
      <c r="G60" s="49">
        <f>N60</f>
        <v/>
      </c>
      <c r="H60" s="6" t="n">
        <v>0</v>
      </c>
      <c r="I60" s="50">
        <f>IF($D$19=0,0,F60/$D$19)</f>
        <v/>
      </c>
      <c r="K60" s="51">
        <f>IF($F$10=0,0,IF($B$10="Buy",1,-1)*$F$10*$H$6*IF($G$6&lt;=0,MAX(0,IF($C$10="Call",$A60-$D$10,$D$10-$A60)),IF($C$10="Call",$A60*EXP(-$F$6*($G$6/365))*NORMSDIST((LN($A60/$D$10)+($E$6-$F$6+$G$10^2/2)*($G$6/365))/($G$10*SQRT($G$6/365)))-$D$10*EXP(-$E$6*($G$6/365))*NORMSDIST((LN($A60/$D$10)+($E$6-$F$6+$G$10^2/2)*($G$6/365))/($G$10*SQRT($G$6/365))-$G$10*SQRT($G$6/365)),$D$10*EXP(-$E$6*($G$6/365))*NORMSDIST(-((LN($A60/$D$10)+($E$6-$F$6+$G$10^2/2)*($G$6/365))/($G$10*SQRT($G$6/365))-$G$10*SQRT($G$6/365)))-$A60*EXP(-$F$6*($G$6/365))*NORMSDIST(-((LN($A60/$D$10)+($E$6-$F$6+$G$10^2/2)*($G$6/365))/($G$10*SQRT($G$6/365)))))))</f>
        <v/>
      </c>
      <c r="L60" s="51">
        <f>IF($F$11=0,0,IF($B$11="Buy",1,-1)*$F$11*$H$6*IF($G$6&lt;=0,MAX(0,IF($C$11="Call",$A60-$D$11,$D$11-$A60)),IF($C$11="Call",$A60*EXP(-$F$6*($G$6/365))*NORMSDIST((LN($A60/$D$11)+($E$6-$F$6+$G$11^2/2)*($G$6/365))/($G$11*SQRT($G$6/365)))-$D$11*EXP(-$E$6*($G$6/365))*NORMSDIST((LN($A60/$D$11)+($E$6-$F$6+$G$11^2/2)*($G$6/365))/($G$11*SQRT($G$6/365))-$G$11*SQRT($G$6/365)),$D$11*EXP(-$E$6*($G$6/365))*NORMSDIST(-((LN($A60/$D$11)+($E$6-$F$6+$G$11^2/2)*($G$6/365))/($G$11*SQRT($G$6/365))-$G$11*SQRT($G$6/365)))-$A60*EXP(-$F$6*($G$6/365))*NORMSDIST(-((LN($A60/$D$11)+($E$6-$F$6+$G$11^2/2)*($G$6/365))/($G$11*SQRT($G$6/365)))))))</f>
        <v/>
      </c>
      <c r="M60" s="51">
        <f>IF($F$12=0,0,IF($B$12="Buy",1,-1)*$F$12*$H$6*IF($G$6&lt;=0,MAX(0,IF($C$12="Call",$A60-$D$12,$D$12-$A60)),IF($C$12="Call",$A60*EXP(-$F$6*($G$6/365))*NORMSDIST((LN($A60/$D$12)+($E$6-$F$6+$G$12^2/2)*($G$6/365))/($G$12*SQRT($G$6/365)))-$D$12*EXP(-$E$6*($G$6/365))*NORMSDIST((LN($A60/$D$12)+($E$6-$F$6+$G$12^2/2)*($G$6/365))/($G$12*SQRT($G$6/365))-$G$12*SQRT($G$6/365)),$D$12*EXP(-$E$6*($G$6/365))*NORMSDIST(-((LN($A60/$D$12)+($E$6-$F$6+$G$12^2/2)*($G$6/365))/($G$12*SQRT($G$6/365))-$G$12*SQRT($G$6/365)))-$A60*EXP(-$F$6*($G$6/365))*NORMSDIST(-((LN($A60/$D$12)+($E$6-$F$6+$G$12^2/2)*($G$6/365))/($G$12*SQRT($G$6/365)))))))</f>
        <v/>
      </c>
      <c r="N60" s="52">
        <f>K60+L60+M60+(IF($F$13=0,0,IF($B$13="Buy",1,-1)*$F$13*$H$6*IF($G$6&lt;=0,MAX(0,IF($C$13="Call",$A60-$D$13,$D$13-$A60)),IF($C$13="Call",$A60*EXP(-$F$6*($G$6/365))*NORMSDIST((LN($A60/$D$13)+($E$6-$F$6+$G$13^2/2)*($G$6/365))/($G$13*SQRT($G$6/365)))-$D$13*EXP(-$E$6*($G$6/365))*NORMSDIST((LN($A60/$D$13)+($E$6-$F$6+$G$13^2/2)*($G$6/365))/($G$13*SQRT($G$6/365))-$G$13*SQRT($G$6/365)),$D$13*EXP(-$E$6*($G$6/365))*NORMSDIST(-((LN($A60/$D$13)+($E$6-$F$6+$G$13^2/2)*($G$6/365))/($G$13*SQRT($G$6/365))-$G$13*SQRT($G$6/365)))-$A60*EXP(-$F$6*($G$6/365))*NORMSDIST(-((LN($A60/$D$13)+($E$6-$F$6+$G$13^2/2)*($G$6/365))/($G$13*SQRT($G$6/365))))))))+$I$14</f>
        <v/>
      </c>
    </row>
    <row r="61">
      <c r="A61" s="53">
        <f>A60+$D$23</f>
        <v/>
      </c>
      <c r="B61" s="54">
        <f>IF($F$10=0,0,IF($B$10="Buy",1,-1)*(MAX(0,IF($C$10="Call",$A61-$D$10,$D$10-$A61))-$E$10)*$F$10*$H$6)</f>
        <v/>
      </c>
      <c r="C61" s="54">
        <f>IF($F$11=0,0,IF($B$11="Buy",1,-1)*(MAX(0,IF($C$11="Call",$A61-$D$11,$D$11-$A61))-$E$11)*$F$11*$H$6)</f>
        <v/>
      </c>
      <c r="D61" s="54">
        <f>IF($F$12=0,0,IF($B$12="Buy",1,-1)*(MAX(0,IF($C$12="Call",$A61-$D$12,$D$12-$A61))-$E$12)*$F$12*$H$6)</f>
        <v/>
      </c>
      <c r="E61" s="54">
        <f>IF($F$13=0,0,IF($B$13="Buy",1,-1)*(MAX(0,IF($C$13="Call",$A61-$D$13,$D$13-$A61))-$E$13)*$F$13*$H$6)</f>
        <v/>
      </c>
      <c r="F61" s="54">
        <f>SUM(B61:E61)</f>
        <v/>
      </c>
      <c r="G61" s="54">
        <f>N61</f>
        <v/>
      </c>
      <c r="H61" s="9" t="n">
        <v>0</v>
      </c>
      <c r="I61" s="55">
        <f>IF($D$19=0,0,F61/$D$19)</f>
        <v/>
      </c>
      <c r="K61" s="51">
        <f>IF($F$10=0,0,IF($B$10="Buy",1,-1)*$F$10*$H$6*IF($G$6&lt;=0,MAX(0,IF($C$10="Call",$A61-$D$10,$D$10-$A61)),IF($C$10="Call",$A61*EXP(-$F$6*($G$6/365))*NORMSDIST((LN($A61/$D$10)+($E$6-$F$6+$G$10^2/2)*($G$6/365))/($G$10*SQRT($G$6/365)))-$D$10*EXP(-$E$6*($G$6/365))*NORMSDIST((LN($A61/$D$10)+($E$6-$F$6+$G$10^2/2)*($G$6/365))/($G$10*SQRT($G$6/365))-$G$10*SQRT($G$6/365)),$D$10*EXP(-$E$6*($G$6/365))*NORMSDIST(-((LN($A61/$D$10)+($E$6-$F$6+$G$10^2/2)*($G$6/365))/($G$10*SQRT($G$6/365))-$G$10*SQRT($G$6/365)))-$A61*EXP(-$F$6*($G$6/365))*NORMSDIST(-((LN($A61/$D$10)+($E$6-$F$6+$G$10^2/2)*($G$6/365))/($G$10*SQRT($G$6/365)))))))</f>
        <v/>
      </c>
      <c r="L61" s="51">
        <f>IF($F$11=0,0,IF($B$11="Buy",1,-1)*$F$11*$H$6*IF($G$6&lt;=0,MAX(0,IF($C$11="Call",$A61-$D$11,$D$11-$A61)),IF($C$11="Call",$A61*EXP(-$F$6*($G$6/365))*NORMSDIST((LN($A61/$D$11)+($E$6-$F$6+$G$11^2/2)*($G$6/365))/($G$11*SQRT($G$6/365)))-$D$11*EXP(-$E$6*($G$6/365))*NORMSDIST((LN($A61/$D$11)+($E$6-$F$6+$G$11^2/2)*($G$6/365))/($G$11*SQRT($G$6/365))-$G$11*SQRT($G$6/365)),$D$11*EXP(-$E$6*($G$6/365))*NORMSDIST(-((LN($A61/$D$11)+($E$6-$F$6+$G$11^2/2)*($G$6/365))/($G$11*SQRT($G$6/365))-$G$11*SQRT($G$6/365)))-$A61*EXP(-$F$6*($G$6/365))*NORMSDIST(-((LN($A61/$D$11)+($E$6-$F$6+$G$11^2/2)*($G$6/365))/($G$11*SQRT($G$6/365)))))))</f>
        <v/>
      </c>
      <c r="M61" s="51">
        <f>IF($F$12=0,0,IF($B$12="Buy",1,-1)*$F$12*$H$6*IF($G$6&lt;=0,MAX(0,IF($C$12="Call",$A61-$D$12,$D$12-$A61)),IF($C$12="Call",$A61*EXP(-$F$6*($G$6/365))*NORMSDIST((LN($A61/$D$12)+($E$6-$F$6+$G$12^2/2)*($G$6/365))/($G$12*SQRT($G$6/365)))-$D$12*EXP(-$E$6*($G$6/365))*NORMSDIST((LN($A61/$D$12)+($E$6-$F$6+$G$12^2/2)*($G$6/365))/($G$12*SQRT($G$6/365))-$G$12*SQRT($G$6/365)),$D$12*EXP(-$E$6*($G$6/365))*NORMSDIST(-((LN($A61/$D$12)+($E$6-$F$6+$G$12^2/2)*($G$6/365))/($G$12*SQRT($G$6/365))-$G$12*SQRT($G$6/365)))-$A61*EXP(-$F$6*($G$6/365))*NORMSDIST(-((LN($A61/$D$12)+($E$6-$F$6+$G$12^2/2)*($G$6/365))/($G$12*SQRT($G$6/365)))))))</f>
        <v/>
      </c>
      <c r="N61" s="52">
        <f>K61+L61+M61+(IF($F$13=0,0,IF($B$13="Buy",1,-1)*$F$13*$H$6*IF($G$6&lt;=0,MAX(0,IF($C$13="Call",$A61-$D$13,$D$13-$A61)),IF($C$13="Call",$A61*EXP(-$F$6*($G$6/365))*NORMSDIST((LN($A61/$D$13)+($E$6-$F$6+$G$13^2/2)*($G$6/365))/($G$13*SQRT($G$6/365)))-$D$13*EXP(-$E$6*($G$6/365))*NORMSDIST((LN($A61/$D$13)+($E$6-$F$6+$G$13^2/2)*($G$6/365))/($G$13*SQRT($G$6/365))-$G$13*SQRT($G$6/365)),$D$13*EXP(-$E$6*($G$6/365))*NORMSDIST(-((LN($A61/$D$13)+($E$6-$F$6+$G$13^2/2)*($G$6/365))/($G$13*SQRT($G$6/365))-$G$13*SQRT($G$6/365)))-$A61*EXP(-$F$6*($G$6/365))*NORMSDIST(-((LN($A61/$D$13)+($E$6-$F$6+$G$13^2/2)*($G$6/365))/($G$13*SQRT($G$6/365))))))))+$I$14</f>
        <v/>
      </c>
    </row>
    <row r="62">
      <c r="A62" s="48">
        <f>A61+$D$23</f>
        <v/>
      </c>
      <c r="B62" s="49">
        <f>IF($F$10=0,0,IF($B$10="Buy",1,-1)*(MAX(0,IF($C$10="Call",$A62-$D$10,$D$10-$A62))-$E$10)*$F$10*$H$6)</f>
        <v/>
      </c>
      <c r="C62" s="49">
        <f>IF($F$11=0,0,IF($B$11="Buy",1,-1)*(MAX(0,IF($C$11="Call",$A62-$D$11,$D$11-$A62))-$E$11)*$F$11*$H$6)</f>
        <v/>
      </c>
      <c r="D62" s="49">
        <f>IF($F$12=0,0,IF($B$12="Buy",1,-1)*(MAX(0,IF($C$12="Call",$A62-$D$12,$D$12-$A62))-$E$12)*$F$12*$H$6)</f>
        <v/>
      </c>
      <c r="E62" s="49">
        <f>IF($F$13=0,0,IF($B$13="Buy",1,-1)*(MAX(0,IF($C$13="Call",$A62-$D$13,$D$13-$A62))-$E$13)*$F$13*$H$6)</f>
        <v/>
      </c>
      <c r="F62" s="49">
        <f>SUM(B62:E62)</f>
        <v/>
      </c>
      <c r="G62" s="49">
        <f>N62</f>
        <v/>
      </c>
      <c r="H62" s="6" t="n">
        <v>0</v>
      </c>
      <c r="I62" s="50">
        <f>IF($D$19=0,0,F62/$D$19)</f>
        <v/>
      </c>
      <c r="K62" s="51">
        <f>IF($F$10=0,0,IF($B$10="Buy",1,-1)*$F$10*$H$6*IF($G$6&lt;=0,MAX(0,IF($C$10="Call",$A62-$D$10,$D$10-$A62)),IF($C$10="Call",$A62*EXP(-$F$6*($G$6/365))*NORMSDIST((LN($A62/$D$10)+($E$6-$F$6+$G$10^2/2)*($G$6/365))/($G$10*SQRT($G$6/365)))-$D$10*EXP(-$E$6*($G$6/365))*NORMSDIST((LN($A62/$D$10)+($E$6-$F$6+$G$10^2/2)*($G$6/365))/($G$10*SQRT($G$6/365))-$G$10*SQRT($G$6/365)),$D$10*EXP(-$E$6*($G$6/365))*NORMSDIST(-((LN($A62/$D$10)+($E$6-$F$6+$G$10^2/2)*($G$6/365))/($G$10*SQRT($G$6/365))-$G$10*SQRT($G$6/365)))-$A62*EXP(-$F$6*($G$6/365))*NORMSDIST(-((LN($A62/$D$10)+($E$6-$F$6+$G$10^2/2)*($G$6/365))/($G$10*SQRT($G$6/365)))))))</f>
        <v/>
      </c>
      <c r="L62" s="51">
        <f>IF($F$11=0,0,IF($B$11="Buy",1,-1)*$F$11*$H$6*IF($G$6&lt;=0,MAX(0,IF($C$11="Call",$A62-$D$11,$D$11-$A62)),IF($C$11="Call",$A62*EXP(-$F$6*($G$6/365))*NORMSDIST((LN($A62/$D$11)+($E$6-$F$6+$G$11^2/2)*($G$6/365))/($G$11*SQRT($G$6/365)))-$D$11*EXP(-$E$6*($G$6/365))*NORMSDIST((LN($A62/$D$11)+($E$6-$F$6+$G$11^2/2)*($G$6/365))/($G$11*SQRT($G$6/365))-$G$11*SQRT($G$6/365)),$D$11*EXP(-$E$6*($G$6/365))*NORMSDIST(-((LN($A62/$D$11)+($E$6-$F$6+$G$11^2/2)*($G$6/365))/($G$11*SQRT($G$6/365))-$G$11*SQRT($G$6/365)))-$A62*EXP(-$F$6*($G$6/365))*NORMSDIST(-((LN($A62/$D$11)+($E$6-$F$6+$G$11^2/2)*($G$6/365))/($G$11*SQRT($G$6/365)))))))</f>
        <v/>
      </c>
      <c r="M62" s="51">
        <f>IF($F$12=0,0,IF($B$12="Buy",1,-1)*$F$12*$H$6*IF($G$6&lt;=0,MAX(0,IF($C$12="Call",$A62-$D$12,$D$12-$A62)),IF($C$12="Call",$A62*EXP(-$F$6*($G$6/365))*NORMSDIST((LN($A62/$D$12)+($E$6-$F$6+$G$12^2/2)*($G$6/365))/($G$12*SQRT($G$6/365)))-$D$12*EXP(-$E$6*($G$6/365))*NORMSDIST((LN($A62/$D$12)+($E$6-$F$6+$G$12^2/2)*($G$6/365))/($G$12*SQRT($G$6/365))-$G$12*SQRT($G$6/365)),$D$12*EXP(-$E$6*($G$6/365))*NORMSDIST(-((LN($A62/$D$12)+($E$6-$F$6+$G$12^2/2)*($G$6/365))/($G$12*SQRT($G$6/365))-$G$12*SQRT($G$6/365)))-$A62*EXP(-$F$6*($G$6/365))*NORMSDIST(-((LN($A62/$D$12)+($E$6-$F$6+$G$12^2/2)*($G$6/365))/($G$12*SQRT($G$6/365)))))))</f>
        <v/>
      </c>
      <c r="N62" s="52">
        <f>K62+L62+M62+(IF($F$13=0,0,IF($B$13="Buy",1,-1)*$F$13*$H$6*IF($G$6&lt;=0,MAX(0,IF($C$13="Call",$A62-$D$13,$D$13-$A62)),IF($C$13="Call",$A62*EXP(-$F$6*($G$6/365))*NORMSDIST((LN($A62/$D$13)+($E$6-$F$6+$G$13^2/2)*($G$6/365))/($G$13*SQRT($G$6/365)))-$D$13*EXP(-$E$6*($G$6/365))*NORMSDIST((LN($A62/$D$13)+($E$6-$F$6+$G$13^2/2)*($G$6/365))/($G$13*SQRT($G$6/365))-$G$13*SQRT($G$6/365)),$D$13*EXP(-$E$6*($G$6/365))*NORMSDIST(-((LN($A62/$D$13)+($E$6-$F$6+$G$13^2/2)*($G$6/365))/($G$13*SQRT($G$6/365))-$G$13*SQRT($G$6/365)))-$A62*EXP(-$F$6*($G$6/365))*NORMSDIST(-((LN($A62/$D$13)+($E$6-$F$6+$G$13^2/2)*($G$6/365))/($G$13*SQRT($G$6/365))))))))+$I$14</f>
        <v/>
      </c>
    </row>
    <row r="63">
      <c r="A63" s="53">
        <f>A62+$D$23</f>
        <v/>
      </c>
      <c r="B63" s="54">
        <f>IF($F$10=0,0,IF($B$10="Buy",1,-1)*(MAX(0,IF($C$10="Call",$A63-$D$10,$D$10-$A63))-$E$10)*$F$10*$H$6)</f>
        <v/>
      </c>
      <c r="C63" s="54">
        <f>IF($F$11=0,0,IF($B$11="Buy",1,-1)*(MAX(0,IF($C$11="Call",$A63-$D$11,$D$11-$A63))-$E$11)*$F$11*$H$6)</f>
        <v/>
      </c>
      <c r="D63" s="54">
        <f>IF($F$12=0,0,IF($B$12="Buy",1,-1)*(MAX(0,IF($C$12="Call",$A63-$D$12,$D$12-$A63))-$E$12)*$F$12*$H$6)</f>
        <v/>
      </c>
      <c r="E63" s="54">
        <f>IF($F$13=0,0,IF($B$13="Buy",1,-1)*(MAX(0,IF($C$13="Call",$A63-$D$13,$D$13-$A63))-$E$13)*$F$13*$H$6)</f>
        <v/>
      </c>
      <c r="F63" s="54">
        <f>SUM(B63:E63)</f>
        <v/>
      </c>
      <c r="G63" s="54">
        <f>N63</f>
        <v/>
      </c>
      <c r="H63" s="9" t="n">
        <v>0</v>
      </c>
      <c r="I63" s="55">
        <f>IF($D$19=0,0,F63/$D$19)</f>
        <v/>
      </c>
      <c r="K63" s="51">
        <f>IF($F$10=0,0,IF($B$10="Buy",1,-1)*$F$10*$H$6*IF($G$6&lt;=0,MAX(0,IF($C$10="Call",$A63-$D$10,$D$10-$A63)),IF($C$10="Call",$A63*EXP(-$F$6*($G$6/365))*NORMSDIST((LN($A63/$D$10)+($E$6-$F$6+$G$10^2/2)*($G$6/365))/($G$10*SQRT($G$6/365)))-$D$10*EXP(-$E$6*($G$6/365))*NORMSDIST((LN($A63/$D$10)+($E$6-$F$6+$G$10^2/2)*($G$6/365))/($G$10*SQRT($G$6/365))-$G$10*SQRT($G$6/365)),$D$10*EXP(-$E$6*($G$6/365))*NORMSDIST(-((LN($A63/$D$10)+($E$6-$F$6+$G$10^2/2)*($G$6/365))/($G$10*SQRT($G$6/365))-$G$10*SQRT($G$6/365)))-$A63*EXP(-$F$6*($G$6/365))*NORMSDIST(-((LN($A63/$D$10)+($E$6-$F$6+$G$10^2/2)*($G$6/365))/($G$10*SQRT($G$6/365)))))))</f>
        <v/>
      </c>
      <c r="L63" s="51">
        <f>IF($F$11=0,0,IF($B$11="Buy",1,-1)*$F$11*$H$6*IF($G$6&lt;=0,MAX(0,IF($C$11="Call",$A63-$D$11,$D$11-$A63)),IF($C$11="Call",$A63*EXP(-$F$6*($G$6/365))*NORMSDIST((LN($A63/$D$11)+($E$6-$F$6+$G$11^2/2)*($G$6/365))/($G$11*SQRT($G$6/365)))-$D$11*EXP(-$E$6*($G$6/365))*NORMSDIST((LN($A63/$D$11)+($E$6-$F$6+$G$11^2/2)*($G$6/365))/($G$11*SQRT($G$6/365))-$G$11*SQRT($G$6/365)),$D$11*EXP(-$E$6*($G$6/365))*NORMSDIST(-((LN($A63/$D$11)+($E$6-$F$6+$G$11^2/2)*($G$6/365))/($G$11*SQRT($G$6/365))-$G$11*SQRT($G$6/365)))-$A63*EXP(-$F$6*($G$6/365))*NORMSDIST(-((LN($A63/$D$11)+($E$6-$F$6+$G$11^2/2)*($G$6/365))/($G$11*SQRT($G$6/365)))))))</f>
        <v/>
      </c>
      <c r="M63" s="51">
        <f>IF($F$12=0,0,IF($B$12="Buy",1,-1)*$F$12*$H$6*IF($G$6&lt;=0,MAX(0,IF($C$12="Call",$A63-$D$12,$D$12-$A63)),IF($C$12="Call",$A63*EXP(-$F$6*($G$6/365))*NORMSDIST((LN($A63/$D$12)+($E$6-$F$6+$G$12^2/2)*($G$6/365))/($G$12*SQRT($G$6/365)))-$D$12*EXP(-$E$6*($G$6/365))*NORMSDIST((LN($A63/$D$12)+($E$6-$F$6+$G$12^2/2)*($G$6/365))/($G$12*SQRT($G$6/365))-$G$12*SQRT($G$6/365)),$D$12*EXP(-$E$6*($G$6/365))*NORMSDIST(-((LN($A63/$D$12)+($E$6-$F$6+$G$12^2/2)*($G$6/365))/($G$12*SQRT($G$6/365))-$G$12*SQRT($G$6/365)))-$A63*EXP(-$F$6*($G$6/365))*NORMSDIST(-((LN($A63/$D$12)+($E$6-$F$6+$G$12^2/2)*($G$6/365))/($G$12*SQRT($G$6/365)))))))</f>
        <v/>
      </c>
      <c r="N63" s="52">
        <f>K63+L63+M63+(IF($F$13=0,0,IF($B$13="Buy",1,-1)*$F$13*$H$6*IF($G$6&lt;=0,MAX(0,IF($C$13="Call",$A63-$D$13,$D$13-$A63)),IF($C$13="Call",$A63*EXP(-$F$6*($G$6/365))*NORMSDIST((LN($A63/$D$13)+($E$6-$F$6+$G$13^2/2)*($G$6/365))/($G$13*SQRT($G$6/365)))-$D$13*EXP(-$E$6*($G$6/365))*NORMSDIST((LN($A63/$D$13)+($E$6-$F$6+$G$13^2/2)*($G$6/365))/($G$13*SQRT($G$6/365))-$G$13*SQRT($G$6/365)),$D$13*EXP(-$E$6*($G$6/365))*NORMSDIST(-((LN($A63/$D$13)+($E$6-$F$6+$G$13^2/2)*($G$6/365))/($G$13*SQRT($G$6/365))-$G$13*SQRT($G$6/365)))-$A63*EXP(-$F$6*($G$6/365))*NORMSDIST(-((LN($A63/$D$13)+($E$6-$F$6+$G$13^2/2)*($G$6/365))/($G$13*SQRT($G$6/365))))))))+$I$14</f>
        <v/>
      </c>
    </row>
    <row r="64">
      <c r="A64" s="48">
        <f>A63+$D$23</f>
        <v/>
      </c>
      <c r="B64" s="49">
        <f>IF($F$10=0,0,IF($B$10="Buy",1,-1)*(MAX(0,IF($C$10="Call",$A64-$D$10,$D$10-$A64))-$E$10)*$F$10*$H$6)</f>
        <v/>
      </c>
      <c r="C64" s="49">
        <f>IF($F$11=0,0,IF($B$11="Buy",1,-1)*(MAX(0,IF($C$11="Call",$A64-$D$11,$D$11-$A64))-$E$11)*$F$11*$H$6)</f>
        <v/>
      </c>
      <c r="D64" s="49">
        <f>IF($F$12=0,0,IF($B$12="Buy",1,-1)*(MAX(0,IF($C$12="Call",$A64-$D$12,$D$12-$A64))-$E$12)*$F$12*$H$6)</f>
        <v/>
      </c>
      <c r="E64" s="49">
        <f>IF($F$13=0,0,IF($B$13="Buy",1,-1)*(MAX(0,IF($C$13="Call",$A64-$D$13,$D$13-$A64))-$E$13)*$F$13*$H$6)</f>
        <v/>
      </c>
      <c r="F64" s="49">
        <f>SUM(B64:E64)</f>
        <v/>
      </c>
      <c r="G64" s="49">
        <f>N64</f>
        <v/>
      </c>
      <c r="H64" s="6" t="n">
        <v>0</v>
      </c>
      <c r="I64" s="50">
        <f>IF($D$19=0,0,F64/$D$19)</f>
        <v/>
      </c>
      <c r="K64" s="51">
        <f>IF($F$10=0,0,IF($B$10="Buy",1,-1)*$F$10*$H$6*IF($G$6&lt;=0,MAX(0,IF($C$10="Call",$A64-$D$10,$D$10-$A64)),IF($C$10="Call",$A64*EXP(-$F$6*($G$6/365))*NORMSDIST((LN($A64/$D$10)+($E$6-$F$6+$G$10^2/2)*($G$6/365))/($G$10*SQRT($G$6/365)))-$D$10*EXP(-$E$6*($G$6/365))*NORMSDIST((LN($A64/$D$10)+($E$6-$F$6+$G$10^2/2)*($G$6/365))/($G$10*SQRT($G$6/365))-$G$10*SQRT($G$6/365)),$D$10*EXP(-$E$6*($G$6/365))*NORMSDIST(-((LN($A64/$D$10)+($E$6-$F$6+$G$10^2/2)*($G$6/365))/($G$10*SQRT($G$6/365))-$G$10*SQRT($G$6/365)))-$A64*EXP(-$F$6*($G$6/365))*NORMSDIST(-((LN($A64/$D$10)+($E$6-$F$6+$G$10^2/2)*($G$6/365))/($G$10*SQRT($G$6/365)))))))</f>
        <v/>
      </c>
      <c r="L64" s="51">
        <f>IF($F$11=0,0,IF($B$11="Buy",1,-1)*$F$11*$H$6*IF($G$6&lt;=0,MAX(0,IF($C$11="Call",$A64-$D$11,$D$11-$A64)),IF($C$11="Call",$A64*EXP(-$F$6*($G$6/365))*NORMSDIST((LN($A64/$D$11)+($E$6-$F$6+$G$11^2/2)*($G$6/365))/($G$11*SQRT($G$6/365)))-$D$11*EXP(-$E$6*($G$6/365))*NORMSDIST((LN($A64/$D$11)+($E$6-$F$6+$G$11^2/2)*($G$6/365))/($G$11*SQRT($G$6/365))-$G$11*SQRT($G$6/365)),$D$11*EXP(-$E$6*($G$6/365))*NORMSDIST(-((LN($A64/$D$11)+($E$6-$F$6+$G$11^2/2)*($G$6/365))/($G$11*SQRT($G$6/365))-$G$11*SQRT($G$6/365)))-$A64*EXP(-$F$6*($G$6/365))*NORMSDIST(-((LN($A64/$D$11)+($E$6-$F$6+$G$11^2/2)*($G$6/365))/($G$11*SQRT($G$6/365)))))))</f>
        <v/>
      </c>
      <c r="M64" s="51">
        <f>IF($F$12=0,0,IF($B$12="Buy",1,-1)*$F$12*$H$6*IF($G$6&lt;=0,MAX(0,IF($C$12="Call",$A64-$D$12,$D$12-$A64)),IF($C$12="Call",$A64*EXP(-$F$6*($G$6/365))*NORMSDIST((LN($A64/$D$12)+($E$6-$F$6+$G$12^2/2)*($G$6/365))/($G$12*SQRT($G$6/365)))-$D$12*EXP(-$E$6*($G$6/365))*NORMSDIST((LN($A64/$D$12)+($E$6-$F$6+$G$12^2/2)*($G$6/365))/($G$12*SQRT($G$6/365))-$G$12*SQRT($G$6/365)),$D$12*EXP(-$E$6*($G$6/365))*NORMSDIST(-((LN($A64/$D$12)+($E$6-$F$6+$G$12^2/2)*($G$6/365))/($G$12*SQRT($G$6/365))-$G$12*SQRT($G$6/365)))-$A64*EXP(-$F$6*($G$6/365))*NORMSDIST(-((LN($A64/$D$12)+($E$6-$F$6+$G$12^2/2)*($G$6/365))/($G$12*SQRT($G$6/365)))))))</f>
        <v/>
      </c>
      <c r="N64" s="52">
        <f>K64+L64+M64+(IF($F$13=0,0,IF($B$13="Buy",1,-1)*$F$13*$H$6*IF($G$6&lt;=0,MAX(0,IF($C$13="Call",$A64-$D$13,$D$13-$A64)),IF($C$13="Call",$A64*EXP(-$F$6*($G$6/365))*NORMSDIST((LN($A64/$D$13)+($E$6-$F$6+$G$13^2/2)*($G$6/365))/($G$13*SQRT($G$6/365)))-$D$13*EXP(-$E$6*($G$6/365))*NORMSDIST((LN($A64/$D$13)+($E$6-$F$6+$G$13^2/2)*($G$6/365))/($G$13*SQRT($G$6/365))-$G$13*SQRT($G$6/365)),$D$13*EXP(-$E$6*($G$6/365))*NORMSDIST(-((LN($A64/$D$13)+($E$6-$F$6+$G$13^2/2)*($G$6/365))/($G$13*SQRT($G$6/365))-$G$13*SQRT($G$6/365)))-$A64*EXP(-$F$6*($G$6/365))*NORMSDIST(-((LN($A64/$D$13)+($E$6-$F$6+$G$13^2/2)*($G$6/365))/($G$13*SQRT($G$6/365))))))))+$I$14</f>
        <v/>
      </c>
    </row>
    <row r="65">
      <c r="A65" s="53">
        <f>A64+$D$23</f>
        <v/>
      </c>
      <c r="B65" s="54">
        <f>IF($F$10=0,0,IF($B$10="Buy",1,-1)*(MAX(0,IF($C$10="Call",$A65-$D$10,$D$10-$A65))-$E$10)*$F$10*$H$6)</f>
        <v/>
      </c>
      <c r="C65" s="54">
        <f>IF($F$11=0,0,IF($B$11="Buy",1,-1)*(MAX(0,IF($C$11="Call",$A65-$D$11,$D$11-$A65))-$E$11)*$F$11*$H$6)</f>
        <v/>
      </c>
      <c r="D65" s="54">
        <f>IF($F$12=0,0,IF($B$12="Buy",1,-1)*(MAX(0,IF($C$12="Call",$A65-$D$12,$D$12-$A65))-$E$12)*$F$12*$H$6)</f>
        <v/>
      </c>
      <c r="E65" s="54">
        <f>IF($F$13=0,0,IF($B$13="Buy",1,-1)*(MAX(0,IF($C$13="Call",$A65-$D$13,$D$13-$A65))-$E$13)*$F$13*$H$6)</f>
        <v/>
      </c>
      <c r="F65" s="54">
        <f>SUM(B65:E65)</f>
        <v/>
      </c>
      <c r="G65" s="54">
        <f>N65</f>
        <v/>
      </c>
      <c r="H65" s="9" t="n">
        <v>0</v>
      </c>
      <c r="I65" s="55">
        <f>IF($D$19=0,0,F65/$D$19)</f>
        <v/>
      </c>
      <c r="K65" s="51">
        <f>IF($F$10=0,0,IF($B$10="Buy",1,-1)*$F$10*$H$6*IF($G$6&lt;=0,MAX(0,IF($C$10="Call",$A65-$D$10,$D$10-$A65)),IF($C$10="Call",$A65*EXP(-$F$6*($G$6/365))*NORMSDIST((LN($A65/$D$10)+($E$6-$F$6+$G$10^2/2)*($G$6/365))/($G$10*SQRT($G$6/365)))-$D$10*EXP(-$E$6*($G$6/365))*NORMSDIST((LN($A65/$D$10)+($E$6-$F$6+$G$10^2/2)*($G$6/365))/($G$10*SQRT($G$6/365))-$G$10*SQRT($G$6/365)),$D$10*EXP(-$E$6*($G$6/365))*NORMSDIST(-((LN($A65/$D$10)+($E$6-$F$6+$G$10^2/2)*($G$6/365))/($G$10*SQRT($G$6/365))-$G$10*SQRT($G$6/365)))-$A65*EXP(-$F$6*($G$6/365))*NORMSDIST(-((LN($A65/$D$10)+($E$6-$F$6+$G$10^2/2)*($G$6/365))/($G$10*SQRT($G$6/365)))))))</f>
        <v/>
      </c>
      <c r="L65" s="51">
        <f>IF($F$11=0,0,IF($B$11="Buy",1,-1)*$F$11*$H$6*IF($G$6&lt;=0,MAX(0,IF($C$11="Call",$A65-$D$11,$D$11-$A65)),IF($C$11="Call",$A65*EXP(-$F$6*($G$6/365))*NORMSDIST((LN($A65/$D$11)+($E$6-$F$6+$G$11^2/2)*($G$6/365))/($G$11*SQRT($G$6/365)))-$D$11*EXP(-$E$6*($G$6/365))*NORMSDIST((LN($A65/$D$11)+($E$6-$F$6+$G$11^2/2)*($G$6/365))/($G$11*SQRT($G$6/365))-$G$11*SQRT($G$6/365)),$D$11*EXP(-$E$6*($G$6/365))*NORMSDIST(-((LN($A65/$D$11)+($E$6-$F$6+$G$11^2/2)*($G$6/365))/($G$11*SQRT($G$6/365))-$G$11*SQRT($G$6/365)))-$A65*EXP(-$F$6*($G$6/365))*NORMSDIST(-((LN($A65/$D$11)+($E$6-$F$6+$G$11^2/2)*($G$6/365))/($G$11*SQRT($G$6/365)))))))</f>
        <v/>
      </c>
      <c r="M65" s="51">
        <f>IF($F$12=0,0,IF($B$12="Buy",1,-1)*$F$12*$H$6*IF($G$6&lt;=0,MAX(0,IF($C$12="Call",$A65-$D$12,$D$12-$A65)),IF($C$12="Call",$A65*EXP(-$F$6*($G$6/365))*NORMSDIST((LN($A65/$D$12)+($E$6-$F$6+$G$12^2/2)*($G$6/365))/($G$12*SQRT($G$6/365)))-$D$12*EXP(-$E$6*($G$6/365))*NORMSDIST((LN($A65/$D$12)+($E$6-$F$6+$G$12^2/2)*($G$6/365))/($G$12*SQRT($G$6/365))-$G$12*SQRT($G$6/365)),$D$12*EXP(-$E$6*($G$6/365))*NORMSDIST(-((LN($A65/$D$12)+($E$6-$F$6+$G$12^2/2)*($G$6/365))/($G$12*SQRT($G$6/365))-$G$12*SQRT($G$6/365)))-$A65*EXP(-$F$6*($G$6/365))*NORMSDIST(-((LN($A65/$D$12)+($E$6-$F$6+$G$12^2/2)*($G$6/365))/($G$12*SQRT($G$6/365)))))))</f>
        <v/>
      </c>
      <c r="N65" s="52">
        <f>K65+L65+M65+(IF($F$13=0,0,IF($B$13="Buy",1,-1)*$F$13*$H$6*IF($G$6&lt;=0,MAX(0,IF($C$13="Call",$A65-$D$13,$D$13-$A65)),IF($C$13="Call",$A65*EXP(-$F$6*($G$6/365))*NORMSDIST((LN($A65/$D$13)+($E$6-$F$6+$G$13^2/2)*($G$6/365))/($G$13*SQRT($G$6/365)))-$D$13*EXP(-$E$6*($G$6/365))*NORMSDIST((LN($A65/$D$13)+($E$6-$F$6+$G$13^2/2)*($G$6/365))/($G$13*SQRT($G$6/365))-$G$13*SQRT($G$6/365)),$D$13*EXP(-$E$6*($G$6/365))*NORMSDIST(-((LN($A65/$D$13)+($E$6-$F$6+$G$13^2/2)*($G$6/365))/($G$13*SQRT($G$6/365))-$G$13*SQRT($G$6/365)))-$A65*EXP(-$F$6*($G$6/365))*NORMSDIST(-((LN($A65/$D$13)+($E$6-$F$6+$G$13^2/2)*($G$6/365))/($G$13*SQRT($G$6/365))))))))+$I$14</f>
        <v/>
      </c>
    </row>
    <row r="66">
      <c r="A66" s="48">
        <f>A65+$D$23</f>
        <v/>
      </c>
      <c r="B66" s="49">
        <f>IF($F$10=0,0,IF($B$10="Buy",1,-1)*(MAX(0,IF($C$10="Call",$A66-$D$10,$D$10-$A66))-$E$10)*$F$10*$H$6)</f>
        <v/>
      </c>
      <c r="C66" s="49">
        <f>IF($F$11=0,0,IF($B$11="Buy",1,-1)*(MAX(0,IF($C$11="Call",$A66-$D$11,$D$11-$A66))-$E$11)*$F$11*$H$6)</f>
        <v/>
      </c>
      <c r="D66" s="49">
        <f>IF($F$12=0,0,IF($B$12="Buy",1,-1)*(MAX(0,IF($C$12="Call",$A66-$D$12,$D$12-$A66))-$E$12)*$F$12*$H$6)</f>
        <v/>
      </c>
      <c r="E66" s="49">
        <f>IF($F$13=0,0,IF($B$13="Buy",1,-1)*(MAX(0,IF($C$13="Call",$A66-$D$13,$D$13-$A66))-$E$13)*$F$13*$H$6)</f>
        <v/>
      </c>
      <c r="F66" s="49">
        <f>SUM(B66:E66)</f>
        <v/>
      </c>
      <c r="G66" s="49">
        <f>N66</f>
        <v/>
      </c>
      <c r="H66" s="6" t="n">
        <v>0</v>
      </c>
      <c r="I66" s="50">
        <f>IF($D$19=0,0,F66/$D$19)</f>
        <v/>
      </c>
      <c r="K66" s="51">
        <f>IF($F$10=0,0,IF($B$10="Buy",1,-1)*$F$10*$H$6*IF($G$6&lt;=0,MAX(0,IF($C$10="Call",$A66-$D$10,$D$10-$A66)),IF($C$10="Call",$A66*EXP(-$F$6*($G$6/365))*NORMSDIST((LN($A66/$D$10)+($E$6-$F$6+$G$10^2/2)*($G$6/365))/($G$10*SQRT($G$6/365)))-$D$10*EXP(-$E$6*($G$6/365))*NORMSDIST((LN($A66/$D$10)+($E$6-$F$6+$G$10^2/2)*($G$6/365))/($G$10*SQRT($G$6/365))-$G$10*SQRT($G$6/365)),$D$10*EXP(-$E$6*($G$6/365))*NORMSDIST(-((LN($A66/$D$10)+($E$6-$F$6+$G$10^2/2)*($G$6/365))/($G$10*SQRT($G$6/365))-$G$10*SQRT($G$6/365)))-$A66*EXP(-$F$6*($G$6/365))*NORMSDIST(-((LN($A66/$D$10)+($E$6-$F$6+$G$10^2/2)*($G$6/365))/($G$10*SQRT($G$6/365)))))))</f>
        <v/>
      </c>
      <c r="L66" s="51">
        <f>IF($F$11=0,0,IF($B$11="Buy",1,-1)*$F$11*$H$6*IF($G$6&lt;=0,MAX(0,IF($C$11="Call",$A66-$D$11,$D$11-$A66)),IF($C$11="Call",$A66*EXP(-$F$6*($G$6/365))*NORMSDIST((LN($A66/$D$11)+($E$6-$F$6+$G$11^2/2)*($G$6/365))/($G$11*SQRT($G$6/365)))-$D$11*EXP(-$E$6*($G$6/365))*NORMSDIST((LN($A66/$D$11)+($E$6-$F$6+$G$11^2/2)*($G$6/365))/($G$11*SQRT($G$6/365))-$G$11*SQRT($G$6/365)),$D$11*EXP(-$E$6*($G$6/365))*NORMSDIST(-((LN($A66/$D$11)+($E$6-$F$6+$G$11^2/2)*($G$6/365))/($G$11*SQRT($G$6/365))-$G$11*SQRT($G$6/365)))-$A66*EXP(-$F$6*($G$6/365))*NORMSDIST(-((LN($A66/$D$11)+($E$6-$F$6+$G$11^2/2)*($G$6/365))/($G$11*SQRT($G$6/365)))))))</f>
        <v/>
      </c>
      <c r="M66" s="51">
        <f>IF($F$12=0,0,IF($B$12="Buy",1,-1)*$F$12*$H$6*IF($G$6&lt;=0,MAX(0,IF($C$12="Call",$A66-$D$12,$D$12-$A66)),IF($C$12="Call",$A66*EXP(-$F$6*($G$6/365))*NORMSDIST((LN($A66/$D$12)+($E$6-$F$6+$G$12^2/2)*($G$6/365))/($G$12*SQRT($G$6/365)))-$D$12*EXP(-$E$6*($G$6/365))*NORMSDIST((LN($A66/$D$12)+($E$6-$F$6+$G$12^2/2)*($G$6/365))/($G$12*SQRT($G$6/365))-$G$12*SQRT($G$6/365)),$D$12*EXP(-$E$6*($G$6/365))*NORMSDIST(-((LN($A66/$D$12)+($E$6-$F$6+$G$12^2/2)*($G$6/365))/($G$12*SQRT($G$6/365))-$G$12*SQRT($G$6/365)))-$A66*EXP(-$F$6*($G$6/365))*NORMSDIST(-((LN($A66/$D$12)+($E$6-$F$6+$G$12^2/2)*($G$6/365))/($G$12*SQRT($G$6/365)))))))</f>
        <v/>
      </c>
      <c r="N66" s="52">
        <f>K66+L66+M66+(IF($F$13=0,0,IF($B$13="Buy",1,-1)*$F$13*$H$6*IF($G$6&lt;=0,MAX(0,IF($C$13="Call",$A66-$D$13,$D$13-$A66)),IF($C$13="Call",$A66*EXP(-$F$6*($G$6/365))*NORMSDIST((LN($A66/$D$13)+($E$6-$F$6+$G$13^2/2)*($G$6/365))/($G$13*SQRT($G$6/365)))-$D$13*EXP(-$E$6*($G$6/365))*NORMSDIST((LN($A66/$D$13)+($E$6-$F$6+$G$13^2/2)*($G$6/365))/($G$13*SQRT($G$6/365))-$G$13*SQRT($G$6/365)),$D$13*EXP(-$E$6*($G$6/365))*NORMSDIST(-((LN($A66/$D$13)+($E$6-$F$6+$G$13^2/2)*($G$6/365))/($G$13*SQRT($G$6/365))-$G$13*SQRT($G$6/365)))-$A66*EXP(-$F$6*($G$6/365))*NORMSDIST(-((LN($A66/$D$13)+($E$6-$F$6+$G$13^2/2)*($G$6/365))/($G$13*SQRT($G$6/365))))))))+$I$14</f>
        <v/>
      </c>
    </row>
    <row r="68" ht="20" customHeight="1">
      <c r="A68" s="3" t="inlineStr">
        <is>
          <t>MarketXLS Functions Used in This Sheet</t>
        </is>
      </c>
    </row>
    <row r="69">
      <c r="A69" s="22">
        <f>QM_Last("AAPL")</f>
        <v/>
      </c>
      <c r="D69" s="23" t="inlineStr">
        <is>
          <t>Spot price of the underlying, cell C6</t>
        </is>
      </c>
    </row>
    <row r="70">
      <c r="A70" s="22">
        <f>OptionSymbol(A6,B6,"Call",300)</f>
        <v/>
      </c>
      <c r="D70" s="23" t="inlineStr">
        <is>
          <t>Builds the contract symbol used by Bid, Ask and OI</t>
        </is>
      </c>
    </row>
    <row r="71">
      <c r="A71" s="22">
        <f>Bid(H10)  /  =Ask(H10)</f>
        <v/>
      </c>
      <c r="D71" s="23" t="inlineStr">
        <is>
          <t>Quoted bid and ask for one contract, midpoint feeds Premium</t>
        </is>
      </c>
    </row>
    <row r="72">
      <c r="A72" s="22">
        <f>OPT_DaysToExpiration(H10)</f>
        <v/>
      </c>
      <c r="D72" s="23" t="inlineStr">
        <is>
          <t>Calendar days left on the contract, cell D6</t>
        </is>
      </c>
    </row>
    <row r="73">
      <c r="A73" s="22">
        <f>opt_ImpliedVolatility(C6,E10,B6,C10,D10,E6,F6)</f>
        <v/>
      </c>
      <c r="D73" s="23" t="inlineStr">
        <is>
          <t>Implied volatility solved from the traded premium</t>
        </is>
      </c>
    </row>
    <row r="74">
      <c r="A74" s="22">
        <f>DividendYield(A6)</f>
        <v/>
      </c>
      <c r="D74" s="23" t="inlineStr">
        <is>
          <t>Annual dividend yield used in the pre-expiry model</t>
        </is>
      </c>
    </row>
    <row r="75">
      <c r="A75" s="22">
        <f>ImpliedVolatilityRank1y(A6)</f>
        <v/>
      </c>
      <c r="D75" s="23" t="inlineStr">
        <is>
          <t>Where current IV sits inside its own one year range</t>
        </is>
      </c>
    </row>
    <row r="77">
      <c r="A77" s="24" t="inlineStr">
        <is>
          <t>Powered by MarketXLS   |   https://marketxls.com   |   Book a demo: https://marketxls.com/book-demo</t>
        </is>
      </c>
    </row>
  </sheetData>
  <mergeCells count="24">
    <mergeCell ref="A75:C75"/>
    <mergeCell ref="D70:I70"/>
    <mergeCell ref="A74:C74"/>
    <mergeCell ref="D75:I75"/>
    <mergeCell ref="D72:I72"/>
    <mergeCell ref="A21:I21"/>
    <mergeCell ref="A71:C71"/>
    <mergeCell ref="A2:I2"/>
    <mergeCell ref="D71:I71"/>
    <mergeCell ref="A8:I8"/>
    <mergeCell ref="K24:N24"/>
    <mergeCell ref="D74:I74"/>
    <mergeCell ref="A4:I4"/>
    <mergeCell ref="A72:C72"/>
    <mergeCell ref="D73:I73"/>
    <mergeCell ref="A68:I68"/>
    <mergeCell ref="A77:I77"/>
    <mergeCell ref="A73:C73"/>
    <mergeCell ref="D69:I69"/>
    <mergeCell ref="A24:I24"/>
    <mergeCell ref="A1:I1"/>
    <mergeCell ref="A70:C70"/>
    <mergeCell ref="A69:C69"/>
    <mergeCell ref="A16:I16"/>
  </mergeCells>
  <conditionalFormatting sqref="F26:G66">
    <cfRule type="colorScale" priority="1">
      <colorScale>
        <cfvo type="min"/>
        <cfvo type="num" val="0"/>
        <cfvo type="max"/>
        <color rgb="00F8C9C9"/>
        <color rgb="00FFFFFF"/>
        <color rgb="00C6E9DC"/>
      </colorScale>
    </cfRule>
  </conditionalFormatting>
  <dataValidations count="2">
    <dataValidation sqref="B10 B11 B12 B13" showDropDown="0" showInputMessage="0" showErrorMessage="0" allowBlank="1" type="list">
      <formula1>"Buy,Sell"</formula1>
    </dataValidation>
    <dataValidation sqref="C10 C11 C12 C13" showDropDown="0" showInputMessage="0" showErrorMessage="0" allowBlank="1" type="list">
      <formula1>"Call,Put"</formula1>
    </dataValidation>
  </dataValidations>
  <pageMargins left="0.75" right="0.75" top="1" bottom="1" header="0.5" footer="0.5"/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6" customWidth="1" min="4" max="4"/>
    <col width="16" customWidth="1" min="5" max="5"/>
    <col width="15" customWidth="1" min="6" max="6"/>
    <col width="15" customWidth="1" min="7" max="7"/>
    <col width="34" customWidth="1" min="8" max="8"/>
  </cols>
  <sheetData>
    <row r="1" ht="26" customHeight="1">
      <c r="A1" s="56" t="inlineStr">
        <is>
          <t>SCENARIO ANALYSIS - SEVEN POINTS ON THE PAYOFF CHART</t>
        </is>
      </c>
    </row>
    <row r="2">
      <c r="A2" s="2" t="inlineStr">
        <is>
          <t>Each row reads the position built on the Payoff Chart sheet. Change the step size and every row moves.</t>
        </is>
      </c>
    </row>
    <row r="4" ht="20" customHeight="1">
      <c r="A4" s="3" t="inlineStr">
        <is>
          <t>Scenario Inputs</t>
        </is>
      </c>
    </row>
    <row r="5">
      <c r="A5" s="19" t="inlineStr">
        <is>
          <t>Spot price (from Payoff Chart)</t>
        </is>
      </c>
      <c r="C5" s="57">
        <f>'Payoff Chart'!C6</f>
        <v/>
      </c>
    </row>
    <row r="6">
      <c r="A6" s="19" t="inlineStr">
        <is>
          <t>Scenario step (% move)</t>
        </is>
      </c>
      <c r="C6" s="58" t="n">
        <v>0.05</v>
      </c>
    </row>
    <row r="7">
      <c r="A7" s="19" t="inlineStr">
        <is>
          <t>Capital at risk</t>
        </is>
      </c>
      <c r="C7" s="57">
        <f>'Payoff Chart'!D19</f>
        <v/>
      </c>
    </row>
    <row r="9" ht="20" customHeight="1">
      <c r="A9" s="3" t="inlineStr">
        <is>
          <t>Outcome By Underlying Price</t>
        </is>
      </c>
    </row>
    <row r="10" ht="30" customHeight="1">
      <c r="A10" s="5" t="inlineStr">
        <is>
          <t>Scenario</t>
        </is>
      </c>
      <c r="B10" s="5" t="inlineStr">
        <is>
          <t>% Move</t>
        </is>
      </c>
      <c r="C10" s="5" t="inlineStr">
        <is>
          <t>Underlying</t>
        </is>
      </c>
      <c r="D10" s="5" t="inlineStr">
        <is>
          <t>Net At Expiry</t>
        </is>
      </c>
      <c r="E10" s="5" t="inlineStr">
        <is>
          <t>Net Pre-Expiry</t>
        </is>
      </c>
      <c r="F10" s="5" t="inlineStr">
        <is>
          <t>Return On Risk</t>
        </is>
      </c>
      <c r="G10" s="5" t="inlineStr">
        <is>
          <t>Time Value Left</t>
        </is>
      </c>
      <c r="H10" s="5" t="inlineStr">
        <is>
          <t>What The Chart Shows</t>
        </is>
      </c>
    </row>
    <row r="11" ht="26" customHeight="1">
      <c r="A11" s="6" t="inlineStr">
        <is>
          <t>Large fall</t>
        </is>
      </c>
      <c r="B11" s="59">
        <f>-3*$C$6</f>
        <v/>
      </c>
      <c r="C11" s="60">
        <f>$C$5*(1+B11)</f>
        <v/>
      </c>
      <c r="D11" s="49">
        <f>IF('Payoff Chart'!$F$10=0,0,IF('Payoff Chart'!$B$10="Buy",1,-1)*(MAX(0,IF('Payoff Chart'!$C$10="Call",$C11-'Payoff Chart'!$D$10,'Payoff Chart'!$D$10-$C11))-'Payoff Chart'!$E$10)*'Payoff Chart'!$F$10*'Payoff Chart'!$H$6+IF('Payoff Chart'!$F$11=0,0,IF('Payoff Chart'!$B$11="Buy",1,-1)*(MAX(0,IF('Payoff Chart'!$C$11="Call",$C11-'Payoff Chart'!$D$11,'Payoff Chart'!$D$11-$C11))-'Payoff Chart'!$E$11)*'Payoff Chart'!$F$11*'Payoff Chart'!$H$6+IF('Payoff Chart'!$F$12=0,0,IF('Payoff Chart'!$B$12="Buy",1,-1)*(MAX(0,IF('Payoff Chart'!$C$12="Call",$C11-'Payoff Chart'!$D$12,'Payoff Chart'!$D$12-$C11))-'Payoff Chart'!$E$12)*'Payoff Chart'!$F$12*'Payoff Chart'!$H$6+IF('Payoff Chart'!$F$13=0,0,IF('Payoff Chart'!$B$13="Buy",1,-1)*(MAX(0,IF('Payoff Chart'!$C$13="Call",$C11-'Payoff Chart'!$D$13,'Payoff Chart'!$D$13-$C11))-'Payoff Chart'!$E$13)*'Payoff Chart'!$F$13*'Payoff Chart'!$H$6</f>
        <v/>
      </c>
      <c r="E11" s="49">
        <f>IFERROR(INDEX('Payoff Chart'!$N$26:$N$66,MATCH(C11,'Payoff Chart'!$A$26:$A$66,1)),D11)</f>
        <v/>
      </c>
      <c r="F11" s="59">
        <f>IF($C$7=0,0,D11/$C$7)</f>
        <v/>
      </c>
      <c r="G11" s="49">
        <f>E11-D11</f>
        <v/>
      </c>
      <c r="H11" s="8" t="inlineStr">
        <is>
          <t>Deep on the flat left segment, the full debit is gone</t>
        </is>
      </c>
    </row>
    <row r="12" ht="26" customHeight="1">
      <c r="A12" s="9" t="inlineStr">
        <is>
          <t>Moderate fall</t>
        </is>
      </c>
      <c r="B12" s="61">
        <f>-2*$C$6</f>
        <v/>
      </c>
      <c r="C12" s="62">
        <f>$C$5*(1+B12)</f>
        <v/>
      </c>
      <c r="D12" s="54">
        <f>IF('Payoff Chart'!$F$10=0,0,IF('Payoff Chart'!$B$10="Buy",1,-1)*(MAX(0,IF('Payoff Chart'!$C$10="Call",$C12-'Payoff Chart'!$D$10,'Payoff Chart'!$D$10-$C12))-'Payoff Chart'!$E$10)*'Payoff Chart'!$F$10*'Payoff Chart'!$H$6+IF('Payoff Chart'!$F$11=0,0,IF('Payoff Chart'!$B$11="Buy",1,-1)*(MAX(0,IF('Payoff Chart'!$C$11="Call",$C12-'Payoff Chart'!$D$11,'Payoff Chart'!$D$11-$C12))-'Payoff Chart'!$E$11)*'Payoff Chart'!$F$11*'Payoff Chart'!$H$6+IF('Payoff Chart'!$F$12=0,0,IF('Payoff Chart'!$B$12="Buy",1,-1)*(MAX(0,IF('Payoff Chart'!$C$12="Call",$C12-'Payoff Chart'!$D$12,'Payoff Chart'!$D$12-$C12))-'Payoff Chart'!$E$12)*'Payoff Chart'!$F$12*'Payoff Chart'!$H$6+IF('Payoff Chart'!$F$13=0,0,IF('Payoff Chart'!$B$13="Buy",1,-1)*(MAX(0,IF('Payoff Chart'!$C$13="Call",$C12-'Payoff Chart'!$D$13,'Payoff Chart'!$D$13-$C12))-'Payoff Chart'!$E$13)*'Payoff Chart'!$F$13*'Payoff Chart'!$H$6</f>
        <v/>
      </c>
      <c r="E12" s="54">
        <f>IFERROR(INDEX('Payoff Chart'!$N$26:$N$66,MATCH(C12,'Payoff Chart'!$A$26:$A$66,1)),D12)</f>
        <v/>
      </c>
      <c r="F12" s="61">
        <f>IF($C$7=0,0,D12/$C$7)</f>
        <v/>
      </c>
      <c r="G12" s="54">
        <f>E12-D12</f>
        <v/>
      </c>
      <c r="H12" s="11" t="inlineStr">
        <is>
          <t>Still on the flat left segment, both calls expire worthless</t>
        </is>
      </c>
    </row>
    <row r="13" ht="26" customHeight="1">
      <c r="A13" s="6" t="inlineStr">
        <is>
          <t>Small fall</t>
        </is>
      </c>
      <c r="B13" s="59">
        <f>-1*$C$6</f>
        <v/>
      </c>
      <c r="C13" s="60">
        <f>$C$5*(1+B13)</f>
        <v/>
      </c>
      <c r="D13" s="49">
        <f>IF('Payoff Chart'!$F$10=0,0,IF('Payoff Chart'!$B$10="Buy",1,-1)*(MAX(0,IF('Payoff Chart'!$C$10="Call",$C13-'Payoff Chart'!$D$10,'Payoff Chart'!$D$10-$C13))-'Payoff Chart'!$E$10)*'Payoff Chart'!$F$10*'Payoff Chart'!$H$6+IF('Payoff Chart'!$F$11=0,0,IF('Payoff Chart'!$B$11="Buy",1,-1)*(MAX(0,IF('Payoff Chart'!$C$11="Call",$C13-'Payoff Chart'!$D$11,'Payoff Chart'!$D$11-$C13))-'Payoff Chart'!$E$11)*'Payoff Chart'!$F$11*'Payoff Chart'!$H$6+IF('Payoff Chart'!$F$12=0,0,IF('Payoff Chart'!$B$12="Buy",1,-1)*(MAX(0,IF('Payoff Chart'!$C$12="Call",$C13-'Payoff Chart'!$D$12,'Payoff Chart'!$D$12-$C13))-'Payoff Chart'!$E$12)*'Payoff Chart'!$F$12*'Payoff Chart'!$H$6+IF('Payoff Chart'!$F$13=0,0,IF('Payoff Chart'!$B$13="Buy",1,-1)*(MAX(0,IF('Payoff Chart'!$C$13="Call",$C13-'Payoff Chart'!$D$13,'Payoff Chart'!$D$13-$C13))-'Payoff Chart'!$E$13)*'Payoff Chart'!$F$13*'Payoff Chart'!$H$6</f>
        <v/>
      </c>
      <c r="E13" s="49">
        <f>IFERROR(INDEX('Payoff Chart'!$N$26:$N$66,MATCH(C13,'Payoff Chart'!$A$26:$A$66,1)),D13)</f>
        <v/>
      </c>
      <c r="F13" s="59">
        <f>IF($C$7=0,0,D13/$C$7)</f>
        <v/>
      </c>
      <c r="G13" s="49">
        <f>E13-D13</f>
        <v/>
      </c>
      <c r="H13" s="8" t="inlineStr">
        <is>
          <t>Below the long strike, the position is at maximum loss</t>
        </is>
      </c>
    </row>
    <row r="14" ht="26" customHeight="1">
      <c r="A14" s="9" t="inlineStr">
        <is>
          <t>Unchanged</t>
        </is>
      </c>
      <c r="B14" s="61">
        <f>0*$C$6</f>
        <v/>
      </c>
      <c r="C14" s="62">
        <f>$C$5*(1+B14)</f>
        <v/>
      </c>
      <c r="D14" s="54">
        <f>IF('Payoff Chart'!$F$10=0,0,IF('Payoff Chart'!$B$10="Buy",1,-1)*(MAX(0,IF('Payoff Chart'!$C$10="Call",$C14-'Payoff Chart'!$D$10,'Payoff Chart'!$D$10-$C14))-'Payoff Chart'!$E$10)*'Payoff Chart'!$F$10*'Payoff Chart'!$H$6+IF('Payoff Chart'!$F$11=0,0,IF('Payoff Chart'!$B$11="Buy",1,-1)*(MAX(0,IF('Payoff Chart'!$C$11="Call",$C14-'Payoff Chart'!$D$11,'Payoff Chart'!$D$11-$C14))-'Payoff Chart'!$E$11)*'Payoff Chart'!$F$11*'Payoff Chart'!$H$6+IF('Payoff Chart'!$F$12=0,0,IF('Payoff Chart'!$B$12="Buy",1,-1)*(MAX(0,IF('Payoff Chart'!$C$12="Call",$C14-'Payoff Chart'!$D$12,'Payoff Chart'!$D$12-$C14))-'Payoff Chart'!$E$12)*'Payoff Chart'!$F$12*'Payoff Chart'!$H$6+IF('Payoff Chart'!$F$13=0,0,IF('Payoff Chart'!$B$13="Buy",1,-1)*(MAX(0,IF('Payoff Chart'!$C$13="Call",$C14-'Payoff Chart'!$D$13,'Payoff Chart'!$D$13-$C14))-'Payoff Chart'!$E$13)*'Payoff Chart'!$F$13*'Payoff Chart'!$H$6</f>
        <v/>
      </c>
      <c r="E14" s="54">
        <f>IFERROR(INDEX('Payoff Chart'!$N$26:$N$66,MATCH(C14,'Payoff Chart'!$A$26:$A$66,1)),D14)</f>
        <v/>
      </c>
      <c r="F14" s="61">
        <f>IF($C$7=0,0,D14/$C$7)</f>
        <v/>
      </c>
      <c r="G14" s="54">
        <f>E14-D14</f>
        <v/>
      </c>
      <c r="H14" s="11" t="inlineStr">
        <is>
          <t>Between the strikes, the ramp has started but has not paid the debit back</t>
        </is>
      </c>
    </row>
    <row r="15" ht="26" customHeight="1">
      <c r="A15" s="6" t="inlineStr">
        <is>
          <t>Small rally</t>
        </is>
      </c>
      <c r="B15" s="59">
        <f>1*$C$6</f>
        <v/>
      </c>
      <c r="C15" s="60">
        <f>$C$5*(1+B15)</f>
        <v/>
      </c>
      <c r="D15" s="49">
        <f>IF('Payoff Chart'!$F$10=0,0,IF('Payoff Chart'!$B$10="Buy",1,-1)*(MAX(0,IF('Payoff Chart'!$C$10="Call",$C15-'Payoff Chart'!$D$10,'Payoff Chart'!$D$10-$C15))-'Payoff Chart'!$E$10)*'Payoff Chart'!$F$10*'Payoff Chart'!$H$6+IF('Payoff Chart'!$F$11=0,0,IF('Payoff Chart'!$B$11="Buy",1,-1)*(MAX(0,IF('Payoff Chart'!$C$11="Call",$C15-'Payoff Chart'!$D$11,'Payoff Chart'!$D$11-$C15))-'Payoff Chart'!$E$11)*'Payoff Chart'!$F$11*'Payoff Chart'!$H$6+IF('Payoff Chart'!$F$12=0,0,IF('Payoff Chart'!$B$12="Buy",1,-1)*(MAX(0,IF('Payoff Chart'!$C$12="Call",$C15-'Payoff Chart'!$D$12,'Payoff Chart'!$D$12-$C15))-'Payoff Chart'!$E$12)*'Payoff Chart'!$F$12*'Payoff Chart'!$H$6+IF('Payoff Chart'!$F$13=0,0,IF('Payoff Chart'!$B$13="Buy",1,-1)*(MAX(0,IF('Payoff Chart'!$C$13="Call",$C15-'Payoff Chart'!$D$13,'Payoff Chart'!$D$13-$C15))-'Payoff Chart'!$E$13)*'Payoff Chart'!$F$13*'Payoff Chart'!$H$6</f>
        <v/>
      </c>
      <c r="E15" s="49">
        <f>IFERROR(INDEX('Payoff Chart'!$N$26:$N$66,MATCH(C15,'Payoff Chart'!$A$26:$A$66,1)),D15)</f>
        <v/>
      </c>
      <c r="F15" s="59">
        <f>IF($C$7=0,0,D15/$C$7)</f>
        <v/>
      </c>
      <c r="G15" s="49">
        <f>E15-D15</f>
        <v/>
      </c>
      <c r="H15" s="8" t="inlineStr">
        <is>
          <t>Above breakeven, the ramp is now in profit</t>
        </is>
      </c>
    </row>
    <row r="16" ht="26" customHeight="1">
      <c r="A16" s="9" t="inlineStr">
        <is>
          <t>Moderate rally</t>
        </is>
      </c>
      <c r="B16" s="61">
        <f>2*$C$6</f>
        <v/>
      </c>
      <c r="C16" s="62">
        <f>$C$5*(1+B16)</f>
        <v/>
      </c>
      <c r="D16" s="54">
        <f>IF('Payoff Chart'!$F$10=0,0,IF('Payoff Chart'!$B$10="Buy",1,-1)*(MAX(0,IF('Payoff Chart'!$C$10="Call",$C16-'Payoff Chart'!$D$10,'Payoff Chart'!$D$10-$C16))-'Payoff Chart'!$E$10)*'Payoff Chart'!$F$10*'Payoff Chart'!$H$6+IF('Payoff Chart'!$F$11=0,0,IF('Payoff Chart'!$B$11="Buy",1,-1)*(MAX(0,IF('Payoff Chart'!$C$11="Call",$C16-'Payoff Chart'!$D$11,'Payoff Chart'!$D$11-$C16))-'Payoff Chart'!$E$11)*'Payoff Chart'!$F$11*'Payoff Chart'!$H$6+IF('Payoff Chart'!$F$12=0,0,IF('Payoff Chart'!$B$12="Buy",1,-1)*(MAX(0,IF('Payoff Chart'!$C$12="Call",$C16-'Payoff Chart'!$D$12,'Payoff Chart'!$D$12-$C16))-'Payoff Chart'!$E$12)*'Payoff Chart'!$F$12*'Payoff Chart'!$H$6+IF('Payoff Chart'!$F$13=0,0,IF('Payoff Chart'!$B$13="Buy",1,-1)*(MAX(0,IF('Payoff Chart'!$C$13="Call",$C16-'Payoff Chart'!$D$13,'Payoff Chart'!$D$13-$C16))-'Payoff Chart'!$E$13)*'Payoff Chart'!$F$13*'Payoff Chart'!$H$6</f>
        <v/>
      </c>
      <c r="E16" s="54">
        <f>IFERROR(INDEX('Payoff Chart'!$N$26:$N$66,MATCH(C16,'Payoff Chart'!$A$26:$A$66,1)),D16)</f>
        <v/>
      </c>
      <c r="F16" s="61">
        <f>IF($C$7=0,0,D16/$C$7)</f>
        <v/>
      </c>
      <c r="G16" s="54">
        <f>E16-D16</f>
        <v/>
      </c>
      <c r="H16" s="11" t="inlineStr">
        <is>
          <t>Approaching the short strike, most of the ramp is captured</t>
        </is>
      </c>
    </row>
    <row r="17" ht="26" customHeight="1">
      <c r="A17" s="6" t="inlineStr">
        <is>
          <t>Large rally</t>
        </is>
      </c>
      <c r="B17" s="59">
        <f>3*$C$6</f>
        <v/>
      </c>
      <c r="C17" s="60">
        <f>$C$5*(1+B17)</f>
        <v/>
      </c>
      <c r="D17" s="49">
        <f>IF('Payoff Chart'!$F$10=0,0,IF('Payoff Chart'!$B$10="Buy",1,-1)*(MAX(0,IF('Payoff Chart'!$C$10="Call",$C17-'Payoff Chart'!$D$10,'Payoff Chart'!$D$10-$C17))-'Payoff Chart'!$E$10)*'Payoff Chart'!$F$10*'Payoff Chart'!$H$6+IF('Payoff Chart'!$F$11=0,0,IF('Payoff Chart'!$B$11="Buy",1,-1)*(MAX(0,IF('Payoff Chart'!$C$11="Call",$C17-'Payoff Chart'!$D$11,'Payoff Chart'!$D$11-$C17))-'Payoff Chart'!$E$11)*'Payoff Chart'!$F$11*'Payoff Chart'!$H$6+IF('Payoff Chart'!$F$12=0,0,IF('Payoff Chart'!$B$12="Buy",1,-1)*(MAX(0,IF('Payoff Chart'!$C$12="Call",$C17-'Payoff Chart'!$D$12,'Payoff Chart'!$D$12-$C17))-'Payoff Chart'!$E$12)*'Payoff Chart'!$F$12*'Payoff Chart'!$H$6+IF('Payoff Chart'!$F$13=0,0,IF('Payoff Chart'!$B$13="Buy",1,-1)*(MAX(0,IF('Payoff Chart'!$C$13="Call",$C17-'Payoff Chart'!$D$13,'Payoff Chart'!$D$13-$C17))-'Payoff Chart'!$E$13)*'Payoff Chart'!$F$13*'Payoff Chart'!$H$6</f>
        <v/>
      </c>
      <c r="E17" s="49">
        <f>IFERROR(INDEX('Payoff Chart'!$N$26:$N$66,MATCH(C17,'Payoff Chart'!$A$26:$A$66,1)),D17)</f>
        <v/>
      </c>
      <c r="F17" s="59">
        <f>IF($C$7=0,0,D17/$C$7)</f>
        <v/>
      </c>
      <c r="G17" s="49">
        <f>E17-D17</f>
        <v/>
      </c>
      <c r="H17" s="8" t="inlineStr">
        <is>
          <t>On the flat right segment, profit is capped at the strike width less the debit</t>
        </is>
      </c>
    </row>
    <row r="19" ht="20" customHeight="1">
      <c r="A19" s="3" t="inlineStr">
        <is>
          <t>How To Read The Two Columns</t>
        </is>
      </c>
    </row>
    <row r="20" ht="30" customHeight="1">
      <c r="A20" s="19" t="inlineStr">
        <is>
          <t>Net At Expiry</t>
        </is>
      </c>
      <c r="B20" s="18" t="inlineStr">
        <is>
          <t>The straight line payoff. All time value is gone and only intrinsic value remains. This is the number most payoff charts show.</t>
        </is>
      </c>
    </row>
    <row r="21" ht="30" customHeight="1">
      <c r="A21" s="19" t="inlineStr">
        <is>
          <t>Net Pre-Expiry</t>
        </is>
      </c>
      <c r="B21" s="18" t="inlineStr">
        <is>
          <t>The same position valued with days still on the clock, using the Black-Scholes block on the Payoff Chart sheet.</t>
        </is>
      </c>
    </row>
    <row r="22" ht="30" customHeight="1">
      <c r="A22" s="19" t="inlineStr">
        <is>
          <t>Time Value Left</t>
        </is>
      </c>
      <c r="B22" s="18" t="inlineStr">
        <is>
          <t>The gap between the two. For a long option this gap is positive and shrinks every day. For a short option it is negative and works for you.</t>
        </is>
      </c>
    </row>
    <row r="24" ht="20" customHeight="1">
      <c r="A24" s="3" t="inlineStr">
        <is>
          <t>MarketXLS Functions Used in This Sheet</t>
        </is>
      </c>
    </row>
    <row r="25">
      <c r="A25" s="22">
        <f>QM_Last("AAPL")</f>
        <v/>
      </c>
      <c r="D25" s="23" t="inlineStr">
        <is>
          <t>Spot price that anchors every scenario</t>
        </is>
      </c>
    </row>
    <row r="26">
      <c r="A26" s="22">
        <f>ImpliedVolatility30d("AAPL")</f>
        <v/>
      </c>
      <c r="D26" s="23" t="inlineStr">
        <is>
          <t>30 day implied volatility, sets a realistic move size</t>
        </is>
      </c>
    </row>
    <row r="27">
      <c r="A27" s="22">
        <f>StockVolatilityThirtyDays("AAPL")</f>
        <v/>
      </c>
      <c r="D27" s="23" t="inlineStr">
        <is>
          <t>30 day realised volatility for comparison</t>
        </is>
      </c>
    </row>
    <row r="28">
      <c r="A28" s="22">
        <f>earnings_date("AAPL")</f>
        <v/>
      </c>
      <c r="D28" s="23" t="inlineStr">
        <is>
          <t>Next earnings date, check it sits inside your expiry</t>
        </is>
      </c>
    </row>
    <row r="30">
      <c r="A30" s="24" t="inlineStr">
        <is>
          <t>Powered by MarketXLS   |   https://marketxls.com   |   Book a demo: https://marketxls.com/book-demo</t>
        </is>
      </c>
    </row>
  </sheetData>
  <mergeCells count="18">
    <mergeCell ref="A9:H9"/>
    <mergeCell ref="A4:H4"/>
    <mergeCell ref="B22:H22"/>
    <mergeCell ref="A25:C25"/>
    <mergeCell ref="D25:H25"/>
    <mergeCell ref="A28:C28"/>
    <mergeCell ref="A30:H30"/>
    <mergeCell ref="B21:H21"/>
    <mergeCell ref="A2:H2"/>
    <mergeCell ref="A24:H24"/>
    <mergeCell ref="D28:H28"/>
    <mergeCell ref="D27:H27"/>
    <mergeCell ref="A27:C27"/>
    <mergeCell ref="A19:H19"/>
    <mergeCell ref="A1:H1"/>
    <mergeCell ref="A26:C26"/>
    <mergeCell ref="B20:H20"/>
    <mergeCell ref="D26:H26"/>
  </mergeCells>
  <conditionalFormatting sqref="D11:E17">
    <cfRule type="colorScale" priority="1">
      <colorScale>
        <cfvo type="min"/>
        <cfvo type="num" val="0"/>
        <cfvo type="max"/>
        <color rgb="00F8C9C9"/>
        <color rgb="00FFFFFF"/>
        <color rgb="00C6E9DC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20" customWidth="1" min="3" max="3"/>
    <col width="26" customWidth="1" min="4" max="4"/>
    <col width="24" customWidth="1" min="5" max="5"/>
    <col width="20" customWidth="1" min="6" max="6"/>
    <col width="42" customWidth="1" min="7" max="7"/>
  </cols>
  <sheetData>
    <row r="1" ht="26" customHeight="1">
      <c r="A1" s="56" t="inlineStr">
        <is>
          <t>STRATEGY LIBRARY - PICK A PAYOFF SHAPE, THEN BUILD IT</t>
        </is>
      </c>
    </row>
    <row r="2">
      <c r="A2" s="2" t="inlineStr">
        <is>
          <t>Every structure below is a different payoff shape. Copy the leg recipe into the leg builder on the Payoff Chart sheet.</t>
        </is>
      </c>
    </row>
    <row r="4" ht="20" customHeight="1">
      <c r="A4" s="3" t="inlineStr">
        <is>
          <t>Six Standard Structures</t>
        </is>
      </c>
    </row>
    <row r="5" ht="30" customHeight="1">
      <c r="A5" s="5" t="inlineStr">
        <is>
          <t>Structure</t>
        </is>
      </c>
      <c r="B5" s="5" t="inlineStr">
        <is>
          <t>Leg Recipe</t>
        </is>
      </c>
      <c r="C5" s="5" t="inlineStr">
        <is>
          <t>Works When</t>
        </is>
      </c>
      <c r="D5" s="5" t="inlineStr">
        <is>
          <t>Breakeven Rule</t>
        </is>
      </c>
      <c r="E5" s="5" t="inlineStr">
        <is>
          <t>Maximum Profit</t>
        </is>
      </c>
      <c r="F5" s="5" t="inlineStr">
        <is>
          <t>Maximum Loss</t>
        </is>
      </c>
      <c r="G5" s="5" t="inlineStr">
        <is>
          <t>Payoff Shape</t>
        </is>
      </c>
    </row>
    <row r="6" ht="34" customHeight="1">
      <c r="A6" s="63" t="inlineStr">
        <is>
          <t>Long call</t>
        </is>
      </c>
      <c r="B6" s="8" t="inlineStr">
        <is>
          <t>Buy 1 call</t>
        </is>
      </c>
      <c r="C6" s="8" t="inlineStr">
        <is>
          <t>Rising</t>
        </is>
      </c>
      <c r="D6" s="8" t="inlineStr">
        <is>
          <t>Strike + debit</t>
        </is>
      </c>
      <c r="E6" s="8" t="inlineStr">
        <is>
          <t>Unlimited in theory</t>
        </is>
      </c>
      <c r="F6" s="8" t="inlineStr">
        <is>
          <t>Debit paid</t>
        </is>
      </c>
      <c r="G6" s="8" t="inlineStr">
        <is>
          <t>Hockey stick, flat left, rising right</t>
        </is>
      </c>
    </row>
    <row r="7" ht="34" customHeight="1">
      <c r="A7" s="64" t="inlineStr">
        <is>
          <t>Long put</t>
        </is>
      </c>
      <c r="B7" s="11" t="inlineStr">
        <is>
          <t>Buy 1 put</t>
        </is>
      </c>
      <c r="C7" s="11" t="inlineStr">
        <is>
          <t>Falling</t>
        </is>
      </c>
      <c r="D7" s="11" t="inlineStr">
        <is>
          <t>Strike - debit</t>
        </is>
      </c>
      <c r="E7" s="11" t="inlineStr">
        <is>
          <t>Strike - debit</t>
        </is>
      </c>
      <c r="F7" s="11" t="inlineStr">
        <is>
          <t>Debit paid</t>
        </is>
      </c>
      <c r="G7" s="11" t="inlineStr">
        <is>
          <t>Mirror hockey stick, falling left, flat right</t>
        </is>
      </c>
    </row>
    <row r="8" ht="34" customHeight="1">
      <c r="A8" s="63" t="inlineStr">
        <is>
          <t>Covered call</t>
        </is>
      </c>
      <c r="B8" s="8" t="inlineStr">
        <is>
          <t>Own 100 shares, sell 1 call</t>
        </is>
      </c>
      <c r="C8" s="8" t="inlineStr">
        <is>
          <t>Flat to mildly up</t>
        </is>
      </c>
      <c r="D8" s="8" t="inlineStr">
        <is>
          <t>Stock cost - credit</t>
        </is>
      </c>
      <c r="E8" s="8" t="inlineStr">
        <is>
          <t>Strike - cost + credit</t>
        </is>
      </c>
      <c r="F8" s="8" t="inlineStr">
        <is>
          <t>Stock cost - credit</t>
        </is>
      </c>
      <c r="G8" s="8" t="inlineStr">
        <is>
          <t>Rising then capped flat above the strike</t>
        </is>
      </c>
    </row>
    <row r="9" ht="34" customHeight="1">
      <c r="A9" s="64" t="inlineStr">
        <is>
          <t>Bull call spread</t>
        </is>
      </c>
      <c r="B9" s="11" t="inlineStr">
        <is>
          <t>Buy lower call, sell higher call</t>
        </is>
      </c>
      <c r="C9" s="11" t="inlineStr">
        <is>
          <t>Mildly up</t>
        </is>
      </c>
      <c r="D9" s="11" t="inlineStr">
        <is>
          <t>Long strike + debit</t>
        </is>
      </c>
      <c r="E9" s="11" t="inlineStr">
        <is>
          <t>Strike width - debit</t>
        </is>
      </c>
      <c r="F9" s="11" t="inlineStr">
        <is>
          <t>Debit paid</t>
        </is>
      </c>
      <c r="G9" s="11" t="inlineStr">
        <is>
          <t>Flat, ramp, flat: two elbows</t>
        </is>
      </c>
    </row>
    <row r="10" ht="34" customHeight="1">
      <c r="A10" s="63" t="inlineStr">
        <is>
          <t>Cash secured put</t>
        </is>
      </c>
      <c r="B10" s="8" t="inlineStr">
        <is>
          <t>Sell 1 put, hold cash</t>
        </is>
      </c>
      <c r="C10" s="8" t="inlineStr">
        <is>
          <t>Flat to mildly up</t>
        </is>
      </c>
      <c r="D10" s="8" t="inlineStr">
        <is>
          <t>Strike - credit</t>
        </is>
      </c>
      <c r="E10" s="8" t="inlineStr">
        <is>
          <t>Credit received</t>
        </is>
      </c>
      <c r="F10" s="8" t="inlineStr">
        <is>
          <t>Strike - credit</t>
        </is>
      </c>
      <c r="G10" s="8" t="inlineStr">
        <is>
          <t>Rising then capped flat above the strike</t>
        </is>
      </c>
    </row>
    <row r="11" ht="34" customHeight="1">
      <c r="A11" s="64" t="inlineStr">
        <is>
          <t>Long straddle</t>
        </is>
      </c>
      <c r="B11" s="11" t="inlineStr">
        <is>
          <t>Buy call and put at same strike</t>
        </is>
      </c>
      <c r="C11" s="11" t="inlineStr">
        <is>
          <t>Large move either way</t>
        </is>
      </c>
      <c r="D11" s="11" t="inlineStr">
        <is>
          <t>Strike +/- total debit</t>
        </is>
      </c>
      <c r="E11" s="11" t="inlineStr">
        <is>
          <t>Large either direction</t>
        </is>
      </c>
      <c r="F11" s="11" t="inlineStr">
        <is>
          <t>Total debit paid</t>
        </is>
      </c>
      <c r="G11" s="11" t="inlineStr">
        <is>
          <t>V shape with the trough at the strike</t>
        </is>
      </c>
    </row>
    <row r="13" ht="20" customHeight="1">
      <c r="A13" s="3" t="inlineStr">
        <is>
          <t>The Position Currently On The Payoff Chart Sheet</t>
        </is>
      </c>
    </row>
    <row r="14" ht="30" customHeight="1">
      <c r="A14" s="5" t="inlineStr">
        <is>
          <t>Field</t>
        </is>
      </c>
      <c r="B14" s="5" t="inlineStr">
        <is>
          <t>Value</t>
        </is>
      </c>
      <c r="C14" s="5" t="inlineStr">
        <is>
          <t>Field</t>
        </is>
      </c>
      <c r="D14" s="5" t="inlineStr">
        <is>
          <t>Value</t>
        </is>
      </c>
      <c r="E14" s="5" t="inlineStr">
        <is>
          <t>Field</t>
        </is>
      </c>
      <c r="F14" s="5" t="inlineStr">
        <is>
          <t>Value</t>
        </is>
      </c>
      <c r="G14" s="5" t="inlineStr">
        <is>
          <t>Note</t>
        </is>
      </c>
    </row>
    <row r="15" ht="22" customHeight="1">
      <c r="A15" s="38" t="inlineStr">
        <is>
          <t>Underlying</t>
        </is>
      </c>
      <c r="B15" s="65">
        <f>'Payoff Chart'!A6</f>
        <v/>
      </c>
      <c r="C15" s="38" t="inlineStr">
        <is>
          <t>Spot</t>
        </is>
      </c>
      <c r="D15" s="43">
        <f>'Payoff Chart'!C6</f>
        <v/>
      </c>
      <c r="E15" s="38" t="inlineStr">
        <is>
          <t>Days to expiry</t>
        </is>
      </c>
      <c r="F15" s="66">
        <f>'Payoff Chart'!D6</f>
        <v/>
      </c>
      <c r="G15" s="13" t="inlineStr">
        <is>
          <t>Read straight from the leg builder</t>
        </is>
      </c>
    </row>
    <row r="16" ht="22" customHeight="1">
      <c r="A16" s="38" t="inlineStr">
        <is>
          <t>Net cash at entry</t>
        </is>
      </c>
      <c r="B16" s="39">
        <f>'Payoff Chart'!I14</f>
        <v/>
      </c>
      <c r="C16" s="38" t="inlineStr">
        <is>
          <t>Capital at risk</t>
        </is>
      </c>
      <c r="D16" s="39">
        <f>'Payoff Chart'!D19</f>
        <v/>
      </c>
      <c r="E16" s="38" t="inlineStr">
        <is>
          <t>Reward to risk</t>
        </is>
      </c>
      <c r="F16" s="42">
        <f>'Payoff Chart'!H18</f>
        <v/>
      </c>
      <c r="G16" s="13" t="inlineStr">
        <is>
          <t>Negative net cash means a debit</t>
        </is>
      </c>
    </row>
    <row r="17" ht="22" customHeight="1">
      <c r="A17" s="38" t="inlineStr">
        <is>
          <t>Max profit</t>
        </is>
      </c>
      <c r="B17" s="39">
        <f>'Payoff Chart'!D18</f>
        <v/>
      </c>
      <c r="C17" s="38" t="inlineStr">
        <is>
          <t>Max loss</t>
        </is>
      </c>
      <c r="D17" s="39">
        <f>'Payoff Chart'!F18</f>
        <v/>
      </c>
      <c r="E17" s="38" t="inlineStr">
        <is>
          <t>Lower breakeven</t>
        </is>
      </c>
      <c r="F17" s="39">
        <f>'Payoff Chart'!B19</f>
        <v/>
      </c>
      <c r="G17" s="13" t="inlineStr">
        <is>
          <t>Measured across the grid range</t>
        </is>
      </c>
    </row>
    <row r="19" ht="20" customHeight="1">
      <c r="A19" s="3" t="inlineStr">
        <is>
          <t>Shape Notes</t>
        </is>
      </c>
    </row>
    <row r="20" ht="26" customHeight="1">
      <c r="A20" s="19" t="inlineStr">
        <is>
          <t>One elbow</t>
        </is>
      </c>
      <c r="B20" s="18" t="inlineStr">
        <is>
          <t>A single long or short option. The chart has one bend, at the strike.</t>
        </is>
      </c>
    </row>
    <row r="21" ht="26" customHeight="1">
      <c r="A21" s="19" t="inlineStr">
        <is>
          <t>Two elbows</t>
        </is>
      </c>
      <c r="B21" s="18" t="inlineStr">
        <is>
          <t>A vertical spread. Flat, ramp, flat. Both the profit and the loss are capped.</t>
        </is>
      </c>
    </row>
    <row r="22" ht="26" customHeight="1">
      <c r="A22" s="19" t="inlineStr">
        <is>
          <t>A V or an inverted V</t>
        </is>
      </c>
      <c r="B22" s="18" t="inlineStr">
        <is>
          <t>A straddle or strangle. Two breakevens, one on each side of the strikes.</t>
        </is>
      </c>
    </row>
    <row r="23" ht="26" customHeight="1">
      <c r="A23" s="19" t="inlineStr">
        <is>
          <t>A tent</t>
        </is>
      </c>
      <c r="B23" s="18" t="inlineStr">
        <is>
          <t>A butterfly or condor. Profit peaks between the middle strikes and is capped on both wings.</t>
        </is>
      </c>
    </row>
    <row r="24" ht="26" customHeight="1">
      <c r="A24" s="19" t="inlineStr">
        <is>
          <t>A capped ramp</t>
        </is>
      </c>
      <c r="B24" s="18" t="inlineStr">
        <is>
          <t>A covered call or cash secured put. Rising, then flat above the strike.</t>
        </is>
      </c>
    </row>
    <row r="26">
      <c r="A26" s="21" t="inlineStr">
        <is>
          <t>No structure listed here is a recommendation. Each one is a payoff shape, and the right shape depends on your own analysis and constraints.</t>
        </is>
      </c>
    </row>
    <row r="28" ht="20" customHeight="1">
      <c r="A28" s="3" t="inlineStr">
        <is>
          <t>MarketXLS Functions Used in This Sheet</t>
        </is>
      </c>
    </row>
    <row r="29">
      <c r="A29" s="22">
        <f>Strikes("AAPL","2026-09-18")</f>
        <v/>
      </c>
      <c r="D29" s="23" t="inlineStr">
        <is>
          <t>Every listed strike for the chosen expiry</t>
        </is>
      </c>
    </row>
    <row r="30">
      <c r="A30" s="22">
        <f>Expirations("AAPL")</f>
        <v/>
      </c>
      <c r="D30" s="23" t="inlineStr">
        <is>
          <t>Every listed expiration date for the underlying</t>
        </is>
      </c>
    </row>
    <row r="31">
      <c r="A31" s="22">
        <f>ExpirationNext("AAPL")</f>
        <v/>
      </c>
      <c r="D31" s="23" t="inlineStr">
        <is>
          <t>The next expiration date after today</t>
        </is>
      </c>
    </row>
    <row r="32">
      <c r="A32" s="22">
        <f>opt_PutCallOIRatio("AAPL","2026-09-18")</f>
        <v/>
      </c>
      <c r="D32" s="23" t="inlineStr">
        <is>
          <t>Put to call open interest ratio for that expiry</t>
        </is>
      </c>
    </row>
    <row r="34">
      <c r="A34" s="24" t="inlineStr">
        <is>
          <t>Powered by MarketXLS   |   https://marketxls.com   |   Book a demo: https://marketxls.com/book-demo</t>
        </is>
      </c>
    </row>
  </sheetData>
  <mergeCells count="21">
    <mergeCell ref="B23:G23"/>
    <mergeCell ref="A4:G4"/>
    <mergeCell ref="D30:G30"/>
    <mergeCell ref="D29:G29"/>
    <mergeCell ref="A19:G19"/>
    <mergeCell ref="A28:G28"/>
    <mergeCell ref="A13:G13"/>
    <mergeCell ref="A32:C32"/>
    <mergeCell ref="A34:G34"/>
    <mergeCell ref="A29:C29"/>
    <mergeCell ref="B24:G24"/>
    <mergeCell ref="B20:G20"/>
    <mergeCell ref="D31:G31"/>
    <mergeCell ref="A1:G1"/>
    <mergeCell ref="A31:C31"/>
    <mergeCell ref="A30:C30"/>
    <mergeCell ref="D32:G32"/>
    <mergeCell ref="B22:G22"/>
    <mergeCell ref="A26:G26"/>
    <mergeCell ref="A2:G2"/>
    <mergeCell ref="B21:G2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40" customWidth="1" min="7" max="7"/>
  </cols>
  <sheetData>
    <row r="1" ht="26" customHeight="1">
      <c r="A1" s="56" t="inlineStr">
        <is>
          <t>POSITION SIZING - FROM CAPITAL AT RISK TO CONTRACT COUNT</t>
        </is>
      </c>
    </row>
    <row r="2">
      <c r="A2" s="2" t="inlineStr">
        <is>
          <t>Maximum loss on the payoff chart is the input. Contract count is the output.</t>
        </is>
      </c>
    </row>
    <row r="4" ht="20" customHeight="1">
      <c r="A4" s="3" t="inlineStr">
        <is>
          <t>Your Inputs</t>
        </is>
      </c>
    </row>
    <row r="5">
      <c r="A5" s="19" t="inlineStr">
        <is>
          <t>Account size</t>
        </is>
      </c>
      <c r="C5" s="67" t="n">
        <v>100000</v>
      </c>
      <c r="D5" s="68" t="inlineStr">
        <is>
          <t>Total capital in the account.</t>
        </is>
      </c>
    </row>
    <row r="6">
      <c r="A6" s="19" t="inlineStr">
        <is>
          <t>Maximum risk per position</t>
        </is>
      </c>
      <c r="C6" s="69" t="n">
        <v>0.02</v>
      </c>
      <c r="D6" s="68" t="inlineStr">
        <is>
          <t>Share of the account you accept losing on one idea.</t>
        </is>
      </c>
    </row>
    <row r="7">
      <c r="A7" s="19" t="inlineStr">
        <is>
          <t>Maximum positions open</t>
        </is>
      </c>
      <c r="C7" s="70" t="n">
        <v>8</v>
      </c>
      <c r="D7" s="68" t="inlineStr">
        <is>
          <t>How many of these you intend to run at once.</t>
        </is>
      </c>
    </row>
    <row r="9" ht="20" customHeight="1">
      <c r="A9" s="3" t="inlineStr">
        <is>
          <t>Derived Size</t>
        </is>
      </c>
    </row>
    <row r="10" ht="30" customHeight="1">
      <c r="A10" s="5" t="inlineStr">
        <is>
          <t>Metric</t>
        </is>
      </c>
      <c r="B10" s="5" t="inlineStr">
        <is>
          <t>Value</t>
        </is>
      </c>
      <c r="C10" s="5" t="inlineStr">
        <is>
          <t>Formula In Plain English</t>
        </is>
      </c>
      <c r="D10" s="5" t="inlineStr"/>
      <c r="E10" s="5" t="inlineStr"/>
      <c r="F10" s="5" t="inlineStr"/>
      <c r="G10" s="5" t="inlineStr"/>
    </row>
    <row r="11">
      <c r="A11" s="12" t="inlineStr">
        <is>
          <t>Risk budget per position</t>
        </is>
      </c>
      <c r="B11" s="14" t="n"/>
      <c r="C11" s="43">
        <f>C5*C6</f>
        <v/>
      </c>
      <c r="D11" s="23" t="inlineStr">
        <is>
          <t>Account size multiplied by the risk percent</t>
        </is>
      </c>
      <c r="E11" s="14" t="n"/>
      <c r="F11" s="14" t="n"/>
      <c r="G11" s="14" t="n"/>
    </row>
    <row r="12">
      <c r="A12" s="15" t="inlineStr">
        <is>
          <t>Loss per contract at expiry</t>
        </is>
      </c>
      <c r="B12" s="17" t="n"/>
      <c r="C12" s="71">
        <f>ABS('Payoff Chart'!F18)/MAX(1,'Payoff Chart'!F10)</f>
        <v/>
      </c>
      <c r="D12" s="72" t="inlineStr">
        <is>
          <t>Maximum loss on the chart divided by the contracts already entered</t>
        </is>
      </c>
      <c r="E12" s="17" t="n"/>
      <c r="F12" s="17" t="n"/>
      <c r="G12" s="17" t="n"/>
    </row>
    <row r="13">
      <c r="A13" s="12" t="inlineStr">
        <is>
          <t>Contracts this budget allows</t>
        </is>
      </c>
      <c r="B13" s="14" t="n"/>
      <c r="C13" s="73">
        <f>IF(C12=0,0,ROUNDDOWN(C11/C12,0))</f>
        <v/>
      </c>
      <c r="D13" s="23" t="inlineStr">
        <is>
          <t>Risk budget divided by the loss per contract, rounded down</t>
        </is>
      </c>
      <c r="E13" s="14" t="n"/>
      <c r="F13" s="14" t="n"/>
      <c r="G13" s="14" t="n"/>
    </row>
    <row r="14">
      <c r="A14" s="15" t="inlineStr">
        <is>
          <t>Capital deployed at that size</t>
        </is>
      </c>
      <c r="B14" s="17" t="n"/>
      <c r="C14" s="71">
        <f>C13*C12</f>
        <v/>
      </c>
      <c r="D14" s="72" t="inlineStr">
        <is>
          <t>Contracts multiplied by the loss per contract</t>
        </is>
      </c>
      <c r="E14" s="17" t="n"/>
      <c r="F14" s="17" t="n"/>
      <c r="G14" s="17" t="n"/>
    </row>
    <row r="15">
      <c r="A15" s="12" t="inlineStr">
        <is>
          <t>Share of account at risk</t>
        </is>
      </c>
      <c r="B15" s="14" t="n"/>
      <c r="C15" s="74">
        <f>IF(C5=0,0,C14/C5)</f>
        <v/>
      </c>
      <c r="D15" s="23" t="inlineStr">
        <is>
          <t>Capital deployed divided by account size</t>
        </is>
      </c>
      <c r="E15" s="14" t="n"/>
      <c r="F15" s="14" t="n"/>
      <c r="G15" s="14" t="n"/>
    </row>
    <row r="16">
      <c r="A16" s="15" t="inlineStr">
        <is>
          <t>Total risk if all slots filled</t>
        </is>
      </c>
      <c r="B16" s="17" t="n"/>
      <c r="C16" s="71">
        <f>C14*C7</f>
        <v/>
      </c>
      <c r="D16" s="72" t="inlineStr">
        <is>
          <t>Capital deployed multiplied by the number of open positions</t>
        </is>
      </c>
      <c r="E16" s="17" t="n"/>
      <c r="F16" s="17" t="n"/>
      <c r="G16" s="17" t="n"/>
    </row>
    <row r="17">
      <c r="A17" s="12" t="inlineStr">
        <is>
          <t>Share of account if all filled</t>
        </is>
      </c>
      <c r="B17" s="14" t="n"/>
      <c r="C17" s="74">
        <f>IF(C5=0,0,C16/C5)</f>
        <v/>
      </c>
      <c r="D17" s="23" t="inlineStr">
        <is>
          <t>Total risk divided by account size</t>
        </is>
      </c>
      <c r="E17" s="14" t="n"/>
      <c r="F17" s="14" t="n"/>
      <c r="G17" s="14" t="n"/>
    </row>
    <row r="19" ht="20" customHeight="1">
      <c r="A19" s="3" t="inlineStr">
        <is>
          <t>Risk Ladder - What Different Risk Settings Allow</t>
        </is>
      </c>
    </row>
    <row r="20" ht="30" customHeight="1">
      <c r="A20" s="5" t="inlineStr">
        <is>
          <t>Risk Per Position</t>
        </is>
      </c>
      <c r="B20" s="5" t="inlineStr">
        <is>
          <t>Risk Budget</t>
        </is>
      </c>
      <c r="C20" s="5" t="inlineStr">
        <is>
          <t>Contracts</t>
        </is>
      </c>
      <c r="D20" s="5" t="inlineStr">
        <is>
          <t>Capital Deployed</t>
        </is>
      </c>
      <c r="E20" s="5" t="inlineStr">
        <is>
          <t>Max Loss</t>
        </is>
      </c>
      <c r="F20" s="5" t="inlineStr">
        <is>
          <t>Max Profit</t>
        </is>
      </c>
      <c r="G20" s="5" t="inlineStr">
        <is>
          <t>Note</t>
        </is>
      </c>
    </row>
    <row r="21" ht="22" customHeight="1">
      <c r="A21" s="50" t="n">
        <v>0.005</v>
      </c>
      <c r="B21" s="75">
        <f>$C$5*A21</f>
        <v/>
      </c>
      <c r="C21" s="76">
        <f>IF($C$12=0,0,ROUNDDOWN(B21/$C$12,0))</f>
        <v/>
      </c>
      <c r="D21" s="75">
        <f>C21*$C$12</f>
        <v/>
      </c>
      <c r="E21" s="49">
        <f>-D21</f>
        <v/>
      </c>
      <c r="F21" s="75">
        <f>C21*'Payoff Chart'!D18/MAX(1,'Payoff Chart'!F10)</f>
        <v/>
      </c>
      <c r="G21" s="8" t="inlineStr">
        <is>
          <t>Very conservative, small position, wide room for error</t>
        </is>
      </c>
    </row>
    <row r="22" ht="22" customHeight="1">
      <c r="A22" s="55" t="n">
        <v>0.01</v>
      </c>
      <c r="B22" s="77">
        <f>$C$5*A22</f>
        <v/>
      </c>
      <c r="C22" s="78">
        <f>IF($C$12=0,0,ROUNDDOWN(B22/$C$12,0))</f>
        <v/>
      </c>
      <c r="D22" s="77">
        <f>C22*$C$12</f>
        <v/>
      </c>
      <c r="E22" s="54">
        <f>-D22</f>
        <v/>
      </c>
      <c r="F22" s="77">
        <f>C22*'Payoff Chart'!D18/MAX(1,'Payoff Chart'!F10)</f>
        <v/>
      </c>
      <c r="G22" s="11" t="inlineStr">
        <is>
          <t>Conservative, the common starting point for defined risk trades</t>
        </is>
      </c>
    </row>
    <row r="23" ht="22" customHeight="1">
      <c r="A23" s="50" t="n">
        <v>0.02</v>
      </c>
      <c r="B23" s="75">
        <f>$C$5*A23</f>
        <v/>
      </c>
      <c r="C23" s="76">
        <f>IF($C$12=0,0,ROUNDDOWN(B23/$C$12,0))</f>
        <v/>
      </c>
      <c r="D23" s="75">
        <f>C23*$C$12</f>
        <v/>
      </c>
      <c r="E23" s="49">
        <f>-D23</f>
        <v/>
      </c>
      <c r="F23" s="75">
        <f>C23*'Payoff Chart'!D18/MAX(1,'Payoff Chart'!F10)</f>
        <v/>
      </c>
      <c r="G23" s="8" t="inlineStr">
        <is>
          <t>Moderate, still inside most risk frameworks</t>
        </is>
      </c>
    </row>
    <row r="24" ht="22" customHeight="1">
      <c r="A24" s="55" t="n">
        <v>0.03</v>
      </c>
      <c r="B24" s="77">
        <f>$C$5*A24</f>
        <v/>
      </c>
      <c r="C24" s="78">
        <f>IF($C$12=0,0,ROUNDDOWN(B24/$C$12,0))</f>
        <v/>
      </c>
      <c r="D24" s="77">
        <f>C24*$C$12</f>
        <v/>
      </c>
      <c r="E24" s="54">
        <f>-D24</f>
        <v/>
      </c>
      <c r="F24" s="77">
        <f>C24*'Payoff Chart'!D18/MAX(1,'Payoff Chart'!F10)</f>
        <v/>
      </c>
      <c r="G24" s="11" t="inlineStr">
        <is>
          <t>Aggressive, a run of losses hurts the account quickly</t>
        </is>
      </c>
    </row>
    <row r="25" ht="22" customHeight="1">
      <c r="A25" s="50" t="n">
        <v>0.05</v>
      </c>
      <c r="B25" s="75">
        <f>$C$5*A25</f>
        <v/>
      </c>
      <c r="C25" s="76">
        <f>IF($C$12=0,0,ROUNDDOWN(B25/$C$12,0))</f>
        <v/>
      </c>
      <c r="D25" s="75">
        <f>C25*$C$12</f>
        <v/>
      </c>
      <c r="E25" s="49">
        <f>-D25</f>
        <v/>
      </c>
      <c r="F25" s="75">
        <f>C25*'Payoff Chart'!D18/MAX(1,'Payoff Chart'!F10)</f>
        <v/>
      </c>
      <c r="G25" s="8" t="inlineStr">
        <is>
          <t>Very aggressive, this is where account damage happens</t>
        </is>
      </c>
    </row>
    <row r="27" ht="20" customHeight="1">
      <c r="A27" s="3" t="inlineStr">
        <is>
          <t>Sizing Notes</t>
        </is>
      </c>
    </row>
    <row r="28">
      <c r="A28" s="18" t="inlineStr">
        <is>
          <t>- A defined risk position has a known maximum loss, so contract count follows directly from it.</t>
        </is>
      </c>
    </row>
    <row r="29">
      <c r="A29" s="18" t="inlineStr">
        <is>
          <t>- An undefined risk position has no maximum loss on the chart, so this sheet cannot size it.</t>
        </is>
      </c>
    </row>
    <row r="30">
      <c r="A30" s="18" t="inlineStr">
        <is>
          <t>- Assignment on a short leg changes the position before expiry, so the chart is not the whole story.</t>
        </is>
      </c>
    </row>
    <row r="31">
      <c r="A31" s="18" t="inlineStr">
        <is>
          <t>- Commissions and the bid ask spread are not in the payoff math. Both reduce the real result.</t>
        </is>
      </c>
    </row>
    <row r="32">
      <c r="A32" s="18" t="inlineStr">
        <is>
          <t>- Early exercise on an American style short leg can arrive before the expiry line ever applies.</t>
        </is>
      </c>
    </row>
    <row r="34" ht="20" customHeight="1">
      <c r="A34" s="3" t="inlineStr">
        <is>
          <t>MarketXLS Functions Used in This Sheet</t>
        </is>
      </c>
    </row>
    <row r="35">
      <c r="A35" s="22">
        <f>QM_Last("AAPL")</f>
        <v/>
      </c>
      <c r="D35" s="23" t="inlineStr">
        <is>
          <t>Spot price, sets the cash value of a share position</t>
        </is>
      </c>
    </row>
    <row r="36">
      <c r="A36" s="22">
        <f>AverageDailyVolume("AAPL")</f>
        <v/>
      </c>
      <c r="D36" s="23" t="inlineStr">
        <is>
          <t>Liquidity of the underlying, a size constraint</t>
        </is>
      </c>
    </row>
    <row r="37">
      <c r="A37" s="22">
        <f>QM_OpenInterest(OptionSymbol("AAPL","2026-09-18","Call",300))</f>
        <v/>
      </c>
      <c r="D37" s="23" t="inlineStr">
        <is>
          <t>Open interest on the contract, tells you whether your size fits</t>
        </is>
      </c>
    </row>
    <row r="38">
      <c r="A38" s="22">
        <f>Beta("AAPL")</f>
        <v/>
      </c>
      <c r="D38" s="23" t="inlineStr">
        <is>
          <t>Beta against the market, useful for portfolio level risk</t>
        </is>
      </c>
    </row>
    <row r="40">
      <c r="A40" s="24" t="inlineStr">
        <is>
          <t>Powered by MarketXLS   |   https://marketxls.com   |   Book a demo: https://marketxls.com/book-demo</t>
        </is>
      </c>
    </row>
  </sheetData>
  <mergeCells count="31">
    <mergeCell ref="A32:G32"/>
    <mergeCell ref="D12:G12"/>
    <mergeCell ref="A37:C37"/>
    <mergeCell ref="A4:G4"/>
    <mergeCell ref="D15:G15"/>
    <mergeCell ref="A29:G29"/>
    <mergeCell ref="D5:G5"/>
    <mergeCell ref="A19:G19"/>
    <mergeCell ref="D38:G38"/>
    <mergeCell ref="D14:G14"/>
    <mergeCell ref="A28:G28"/>
    <mergeCell ref="A40:G40"/>
    <mergeCell ref="A9:G9"/>
    <mergeCell ref="A31:G31"/>
    <mergeCell ref="D35:G35"/>
    <mergeCell ref="A34:G34"/>
    <mergeCell ref="A30:G30"/>
    <mergeCell ref="A35:C35"/>
    <mergeCell ref="A38:C38"/>
    <mergeCell ref="A1:G1"/>
    <mergeCell ref="D36:G36"/>
    <mergeCell ref="D6:G6"/>
    <mergeCell ref="D11:G11"/>
    <mergeCell ref="D13:G13"/>
    <mergeCell ref="A36:C36"/>
    <mergeCell ref="D17:G17"/>
    <mergeCell ref="A27:G27"/>
    <mergeCell ref="D16:G16"/>
    <mergeCell ref="D7:G7"/>
    <mergeCell ref="A2:G2"/>
    <mergeCell ref="D37:G37"/>
  </mergeCell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2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2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2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 ht="26" customHeight="1">
      <c r="A1" s="56" t="inlineStr">
        <is>
          <t>GREEKS AND CHAIN - THE SLOPE AND CURVE BEHIND THE PAYOFF LINE</t>
        </is>
      </c>
    </row>
    <row r="2">
      <c r="A2" s="2" t="inlineStr">
        <is>
          <t>AAPL   |   Expiry 2026-09-18   |   Delta is the slope of the pre-expiry line, gamma is its curvature.</t>
        </is>
      </c>
    </row>
    <row r="4" ht="20" customHeight="1">
      <c r="A4" s="3" t="inlineStr">
        <is>
          <t>Underlying Volatility Context</t>
        </is>
      </c>
    </row>
    <row r="5" ht="30" customHeight="1">
      <c r="A5" s="5" t="inlineStr">
        <is>
          <t>Ticker</t>
        </is>
      </c>
      <c r="B5" s="5" t="inlineStr">
        <is>
          <t>Expiry</t>
        </is>
      </c>
      <c r="C5" s="5" t="inlineStr">
        <is>
          <t>Spot</t>
        </is>
      </c>
      <c r="D5" s="5" t="inlineStr">
        <is>
          <t>ATM implied vol</t>
        </is>
      </c>
      <c r="E5" s="5" t="inlineStr">
        <is>
          <t>Realised vol 30 day</t>
        </is>
      </c>
      <c r="F5" s="5" t="inlineStr">
        <is>
          <t>Implied less realised</t>
        </is>
      </c>
      <c r="G5" s="5" t="inlineStr">
        <is>
          <t>Put/call OI ratio</t>
        </is>
      </c>
      <c r="H5" s="5" t="inlineStr">
        <is>
          <t>Put/call volume ratio</t>
        </is>
      </c>
      <c r="I5" s="5" t="inlineStr">
        <is>
          <t>Beta</t>
        </is>
      </c>
      <c r="J5" s="5" t="inlineStr">
        <is>
          <t>Average daily volume</t>
        </is>
      </c>
      <c r="K5" s="5" t="inlineStr"/>
      <c r="L5" s="5" t="inlineStr"/>
      <c r="M5" s="5" t="inlineStr"/>
      <c r="N5" s="5" t="inlineStr"/>
      <c r="O5" s="5" t="inlineStr"/>
      <c r="P5" s="5" t="inlineStr"/>
      <c r="Q5" s="5" t="inlineStr"/>
    </row>
    <row r="6">
      <c r="A6" s="65">
        <f>'Payoff Chart'!A6</f>
        <v/>
      </c>
      <c r="B6" s="65">
        <f>'Payoff Chart'!B6</f>
        <v/>
      </c>
      <c r="C6" s="43">
        <f>'Payoff Chart'!C6</f>
        <v/>
      </c>
      <c r="D6" s="74">
        <f>ImpliedVolatility30d("AAPL")</f>
        <v/>
      </c>
      <c r="E6" s="74">
        <f>StockVolatilityThirtyDays("AAPL")</f>
        <v/>
      </c>
      <c r="F6" s="74">
        <f>ImpliedVolatility30d("AAPL")-StockVolatilityThirtyDays("AAPL")</f>
        <v/>
      </c>
      <c r="G6" s="79">
        <f>opt_PutCallOIRatio("AAPL","2026-09-18")</f>
        <v/>
      </c>
      <c r="H6" s="79">
        <f>opt_PutCallVolRatio("AAPL","2026-09-18")</f>
        <v/>
      </c>
      <c r="I6" s="79">
        <f>Beta("AAPL")</f>
        <v/>
      </c>
      <c r="J6" s="80">
        <f>AverageDailyVolume("AAPL")</f>
        <v/>
      </c>
    </row>
    <row r="8" ht="20" customHeight="1">
      <c r="A8" s="3" t="inlineStr">
        <is>
          <t>Strike Ladder With Greeks (calls left, puts right)</t>
        </is>
      </c>
    </row>
    <row r="9" ht="30" customHeight="1">
      <c r="A9" s="5" t="inlineStr">
        <is>
          <t>Strike</t>
        </is>
      </c>
      <c r="B9" s="5" t="inlineStr">
        <is>
          <t>C Bid</t>
        </is>
      </c>
      <c r="C9" s="5" t="inlineStr">
        <is>
          <t>C Ask</t>
        </is>
      </c>
      <c r="D9" s="5" t="inlineStr">
        <is>
          <t>C Mid</t>
        </is>
      </c>
      <c r="E9" s="5" t="inlineStr">
        <is>
          <t>C IV</t>
        </is>
      </c>
      <c r="F9" s="5" t="inlineStr">
        <is>
          <t>C OI</t>
        </is>
      </c>
      <c r="G9" s="5" t="inlineStr">
        <is>
          <t>C Delta</t>
        </is>
      </c>
      <c r="H9" s="5" t="inlineStr">
        <is>
          <t>C Gamma</t>
        </is>
      </c>
      <c r="I9" s="5" t="inlineStr">
        <is>
          <t>C Theta</t>
        </is>
      </c>
      <c r="J9" s="5" t="inlineStr">
        <is>
          <t>C Vega</t>
        </is>
      </c>
      <c r="K9" s="5" t="inlineStr">
        <is>
          <t>P Bid</t>
        </is>
      </c>
      <c r="L9" s="5" t="inlineStr">
        <is>
          <t>P Ask</t>
        </is>
      </c>
      <c r="M9" s="5" t="inlineStr">
        <is>
          <t>P Mid</t>
        </is>
      </c>
      <c r="N9" s="5" t="inlineStr">
        <is>
          <t>P IV</t>
        </is>
      </c>
      <c r="O9" s="5" t="inlineStr">
        <is>
          <t>P OI</t>
        </is>
      </c>
      <c r="P9" s="5" t="inlineStr">
        <is>
          <t>P Delta</t>
        </is>
      </c>
      <c r="Q9" s="5" t="inlineStr">
        <is>
          <t>P Theta</t>
        </is>
      </c>
    </row>
    <row r="10">
      <c r="A10" s="48" t="n">
        <v>275</v>
      </c>
      <c r="B10" s="60">
        <f>Bid(OptionSymbol($A$6,$B$6,"Call",A10))</f>
        <v/>
      </c>
      <c r="C10" s="60">
        <f>Ask(OptionSymbol($A$6,$B$6,"Call",A10))</f>
        <v/>
      </c>
      <c r="D10" s="60">
        <f>(B10+C10)/2</f>
        <v/>
      </c>
      <c r="E10" s="50">
        <f>opt_ImpliedVolatility($A$6,D10,$B$6,"Call",A10,'Payoff Chart'!$E$6,'Payoff Chart'!$F$6)</f>
        <v/>
      </c>
      <c r="F10" s="81">
        <f>QM_OpenInterest(OptionSymbol($A$6,$B$6,"Call",A10))</f>
        <v/>
      </c>
      <c r="G10" s="82">
        <f>opt_Delta($A$6,D10,$B$6,"Call",A10,'Payoff Chart'!$E$6,'Payoff Chart'!$F$6,E10)</f>
        <v/>
      </c>
      <c r="H10" s="83">
        <f>opt_Gamma($A$6,D10,$B$6,"Call",A10,'Payoff Chart'!$E$6,'Payoff Chart'!$F$6,E10)</f>
        <v/>
      </c>
      <c r="I10" s="82">
        <f>opt_Theta($A$6,D10,$B$6,"Call",A10,'Payoff Chart'!$E$6,'Payoff Chart'!$F$6,E10)</f>
        <v/>
      </c>
      <c r="J10" s="82">
        <f>opt_Vega($A$6,D10,$B$6,"Call",A10,'Payoff Chart'!$E$6,'Payoff Chart'!$F$6,E10)</f>
        <v/>
      </c>
      <c r="K10" s="60">
        <f>Bid(OptionSymbol($A$6,$B$6,"Put",A10))</f>
        <v/>
      </c>
      <c r="L10" s="60">
        <f>Ask(OptionSymbol($A$6,$B$6,"Put",A10))</f>
        <v/>
      </c>
      <c r="M10" s="60">
        <f>(K10+L10)/2</f>
        <v/>
      </c>
      <c r="N10" s="50">
        <f>opt_ImpliedVolatility($A$6,M10,$B$6,"Put",A10,'Payoff Chart'!$E$6,'Payoff Chart'!$F$6)</f>
        <v/>
      </c>
      <c r="O10" s="81">
        <f>QM_OpenInterest(OptionSymbol($A$6,$B$6,"Put",A10))</f>
        <v/>
      </c>
      <c r="P10" s="82">
        <f>opt_Delta($A$6,M10,$B$6,"Put",A10,'Payoff Chart'!$E$6,'Payoff Chart'!$F$6,N10)</f>
        <v/>
      </c>
      <c r="Q10" s="82">
        <f>opt_Theta($A$6,M10,$B$6,"Put",A10,'Payoff Chart'!$E$6,'Payoff Chart'!$F$6,N10)</f>
        <v/>
      </c>
    </row>
    <row r="11">
      <c r="A11" s="53" t="n">
        <v>280</v>
      </c>
      <c r="B11" s="62">
        <f>Bid(OptionSymbol($A$6,$B$6,"Call",A11))</f>
        <v/>
      </c>
      <c r="C11" s="62">
        <f>Ask(OptionSymbol($A$6,$B$6,"Call",A11))</f>
        <v/>
      </c>
      <c r="D11" s="62">
        <f>(B11+C11)/2</f>
        <v/>
      </c>
      <c r="E11" s="55">
        <f>opt_ImpliedVolatility($A$6,D11,$B$6,"Call",A11,'Payoff Chart'!$E$6,'Payoff Chart'!$F$6)</f>
        <v/>
      </c>
      <c r="F11" s="84">
        <f>QM_OpenInterest(OptionSymbol($A$6,$B$6,"Call",A11))</f>
        <v/>
      </c>
      <c r="G11" s="85">
        <f>opt_Delta($A$6,D11,$B$6,"Call",A11,'Payoff Chart'!$E$6,'Payoff Chart'!$F$6,E11)</f>
        <v/>
      </c>
      <c r="H11" s="86">
        <f>opt_Gamma($A$6,D11,$B$6,"Call",A11,'Payoff Chart'!$E$6,'Payoff Chart'!$F$6,E11)</f>
        <v/>
      </c>
      <c r="I11" s="85">
        <f>opt_Theta($A$6,D11,$B$6,"Call",A11,'Payoff Chart'!$E$6,'Payoff Chart'!$F$6,E11)</f>
        <v/>
      </c>
      <c r="J11" s="85">
        <f>opt_Vega($A$6,D11,$B$6,"Call",A11,'Payoff Chart'!$E$6,'Payoff Chart'!$F$6,E11)</f>
        <v/>
      </c>
      <c r="K11" s="62">
        <f>Bid(OptionSymbol($A$6,$B$6,"Put",A11))</f>
        <v/>
      </c>
      <c r="L11" s="62">
        <f>Ask(OptionSymbol($A$6,$B$6,"Put",A11))</f>
        <v/>
      </c>
      <c r="M11" s="62">
        <f>(K11+L11)/2</f>
        <v/>
      </c>
      <c r="N11" s="55">
        <f>opt_ImpliedVolatility($A$6,M11,$B$6,"Put",A11,'Payoff Chart'!$E$6,'Payoff Chart'!$F$6)</f>
        <v/>
      </c>
      <c r="O11" s="84">
        <f>QM_OpenInterest(OptionSymbol($A$6,$B$6,"Put",A11))</f>
        <v/>
      </c>
      <c r="P11" s="85">
        <f>opt_Delta($A$6,M11,$B$6,"Put",A11,'Payoff Chart'!$E$6,'Payoff Chart'!$F$6,N11)</f>
        <v/>
      </c>
      <c r="Q11" s="85">
        <f>opt_Theta($A$6,M11,$B$6,"Put",A11,'Payoff Chart'!$E$6,'Payoff Chart'!$F$6,N11)</f>
        <v/>
      </c>
    </row>
    <row r="12">
      <c r="A12" s="48" t="n">
        <v>285</v>
      </c>
      <c r="B12" s="60">
        <f>Bid(OptionSymbol($A$6,$B$6,"Call",A12))</f>
        <v/>
      </c>
      <c r="C12" s="60">
        <f>Ask(OptionSymbol($A$6,$B$6,"Call",A12))</f>
        <v/>
      </c>
      <c r="D12" s="60">
        <f>(B12+C12)/2</f>
        <v/>
      </c>
      <c r="E12" s="50">
        <f>opt_ImpliedVolatility($A$6,D12,$B$6,"Call",A12,'Payoff Chart'!$E$6,'Payoff Chart'!$F$6)</f>
        <v/>
      </c>
      <c r="F12" s="81">
        <f>QM_OpenInterest(OptionSymbol($A$6,$B$6,"Call",A12))</f>
        <v/>
      </c>
      <c r="G12" s="82">
        <f>opt_Delta($A$6,D12,$B$6,"Call",A12,'Payoff Chart'!$E$6,'Payoff Chart'!$F$6,E12)</f>
        <v/>
      </c>
      <c r="H12" s="83">
        <f>opt_Gamma($A$6,D12,$B$6,"Call",A12,'Payoff Chart'!$E$6,'Payoff Chart'!$F$6,E12)</f>
        <v/>
      </c>
      <c r="I12" s="82">
        <f>opt_Theta($A$6,D12,$B$6,"Call",A12,'Payoff Chart'!$E$6,'Payoff Chart'!$F$6,E12)</f>
        <v/>
      </c>
      <c r="J12" s="82">
        <f>opt_Vega($A$6,D12,$B$6,"Call",A12,'Payoff Chart'!$E$6,'Payoff Chart'!$F$6,E12)</f>
        <v/>
      </c>
      <c r="K12" s="60">
        <f>Bid(OptionSymbol($A$6,$B$6,"Put",A12))</f>
        <v/>
      </c>
      <c r="L12" s="60">
        <f>Ask(OptionSymbol($A$6,$B$6,"Put",A12))</f>
        <v/>
      </c>
      <c r="M12" s="60">
        <f>(K12+L12)/2</f>
        <v/>
      </c>
      <c r="N12" s="50">
        <f>opt_ImpliedVolatility($A$6,M12,$B$6,"Put",A12,'Payoff Chart'!$E$6,'Payoff Chart'!$F$6)</f>
        <v/>
      </c>
      <c r="O12" s="81">
        <f>QM_OpenInterest(OptionSymbol($A$6,$B$6,"Put",A12))</f>
        <v/>
      </c>
      <c r="P12" s="82">
        <f>opt_Delta($A$6,M12,$B$6,"Put",A12,'Payoff Chart'!$E$6,'Payoff Chart'!$F$6,N12)</f>
        <v/>
      </c>
      <c r="Q12" s="82">
        <f>opt_Theta($A$6,M12,$B$6,"Put",A12,'Payoff Chart'!$E$6,'Payoff Chart'!$F$6,N12)</f>
        <v/>
      </c>
    </row>
    <row r="13">
      <c r="A13" s="53" t="n">
        <v>290</v>
      </c>
      <c r="B13" s="62">
        <f>Bid(OptionSymbol($A$6,$B$6,"Call",A13))</f>
        <v/>
      </c>
      <c r="C13" s="62">
        <f>Ask(OptionSymbol($A$6,$B$6,"Call",A13))</f>
        <v/>
      </c>
      <c r="D13" s="62">
        <f>(B13+C13)/2</f>
        <v/>
      </c>
      <c r="E13" s="55">
        <f>opt_ImpliedVolatility($A$6,D13,$B$6,"Call",A13,'Payoff Chart'!$E$6,'Payoff Chart'!$F$6)</f>
        <v/>
      </c>
      <c r="F13" s="84">
        <f>QM_OpenInterest(OptionSymbol($A$6,$B$6,"Call",A13))</f>
        <v/>
      </c>
      <c r="G13" s="85">
        <f>opt_Delta($A$6,D13,$B$6,"Call",A13,'Payoff Chart'!$E$6,'Payoff Chart'!$F$6,E13)</f>
        <v/>
      </c>
      <c r="H13" s="86">
        <f>opt_Gamma($A$6,D13,$B$6,"Call",A13,'Payoff Chart'!$E$6,'Payoff Chart'!$F$6,E13)</f>
        <v/>
      </c>
      <c r="I13" s="85">
        <f>opt_Theta($A$6,D13,$B$6,"Call",A13,'Payoff Chart'!$E$6,'Payoff Chart'!$F$6,E13)</f>
        <v/>
      </c>
      <c r="J13" s="85">
        <f>opt_Vega($A$6,D13,$B$6,"Call",A13,'Payoff Chart'!$E$6,'Payoff Chart'!$F$6,E13)</f>
        <v/>
      </c>
      <c r="K13" s="62">
        <f>Bid(OptionSymbol($A$6,$B$6,"Put",A13))</f>
        <v/>
      </c>
      <c r="L13" s="62">
        <f>Ask(OptionSymbol($A$6,$B$6,"Put",A13))</f>
        <v/>
      </c>
      <c r="M13" s="62">
        <f>(K13+L13)/2</f>
        <v/>
      </c>
      <c r="N13" s="55">
        <f>opt_ImpliedVolatility($A$6,M13,$B$6,"Put",A13,'Payoff Chart'!$E$6,'Payoff Chart'!$F$6)</f>
        <v/>
      </c>
      <c r="O13" s="84">
        <f>QM_OpenInterest(OptionSymbol($A$6,$B$6,"Put",A13))</f>
        <v/>
      </c>
      <c r="P13" s="85">
        <f>opt_Delta($A$6,M13,$B$6,"Put",A13,'Payoff Chart'!$E$6,'Payoff Chart'!$F$6,N13)</f>
        <v/>
      </c>
      <c r="Q13" s="85">
        <f>opt_Theta($A$6,M13,$B$6,"Put",A13,'Payoff Chart'!$E$6,'Payoff Chart'!$F$6,N13)</f>
        <v/>
      </c>
    </row>
    <row r="14">
      <c r="A14" s="48" t="n">
        <v>295</v>
      </c>
      <c r="B14" s="60">
        <f>Bid(OptionSymbol($A$6,$B$6,"Call",A14))</f>
        <v/>
      </c>
      <c r="C14" s="60">
        <f>Ask(OptionSymbol($A$6,$B$6,"Call",A14))</f>
        <v/>
      </c>
      <c r="D14" s="60">
        <f>(B14+C14)/2</f>
        <v/>
      </c>
      <c r="E14" s="50">
        <f>opt_ImpliedVolatility($A$6,D14,$B$6,"Call",A14,'Payoff Chart'!$E$6,'Payoff Chart'!$F$6)</f>
        <v/>
      </c>
      <c r="F14" s="81">
        <f>QM_OpenInterest(OptionSymbol($A$6,$B$6,"Call",A14))</f>
        <v/>
      </c>
      <c r="G14" s="82">
        <f>opt_Delta($A$6,D14,$B$6,"Call",A14,'Payoff Chart'!$E$6,'Payoff Chart'!$F$6,E14)</f>
        <v/>
      </c>
      <c r="H14" s="83">
        <f>opt_Gamma($A$6,D14,$B$6,"Call",A14,'Payoff Chart'!$E$6,'Payoff Chart'!$F$6,E14)</f>
        <v/>
      </c>
      <c r="I14" s="82">
        <f>opt_Theta($A$6,D14,$B$6,"Call",A14,'Payoff Chart'!$E$6,'Payoff Chart'!$F$6,E14)</f>
        <v/>
      </c>
      <c r="J14" s="82">
        <f>opt_Vega($A$6,D14,$B$6,"Call",A14,'Payoff Chart'!$E$6,'Payoff Chart'!$F$6,E14)</f>
        <v/>
      </c>
      <c r="K14" s="60">
        <f>Bid(OptionSymbol($A$6,$B$6,"Put",A14))</f>
        <v/>
      </c>
      <c r="L14" s="60">
        <f>Ask(OptionSymbol($A$6,$B$6,"Put",A14))</f>
        <v/>
      </c>
      <c r="M14" s="60">
        <f>(K14+L14)/2</f>
        <v/>
      </c>
      <c r="N14" s="50">
        <f>opt_ImpliedVolatility($A$6,M14,$B$6,"Put",A14,'Payoff Chart'!$E$6,'Payoff Chart'!$F$6)</f>
        <v/>
      </c>
      <c r="O14" s="81">
        <f>QM_OpenInterest(OptionSymbol($A$6,$B$6,"Put",A14))</f>
        <v/>
      </c>
      <c r="P14" s="82">
        <f>opt_Delta($A$6,M14,$B$6,"Put",A14,'Payoff Chart'!$E$6,'Payoff Chart'!$F$6,N14)</f>
        <v/>
      </c>
      <c r="Q14" s="82">
        <f>opt_Theta($A$6,M14,$B$6,"Put",A14,'Payoff Chart'!$E$6,'Payoff Chart'!$F$6,N14)</f>
        <v/>
      </c>
    </row>
    <row r="15">
      <c r="A15" s="53" t="n">
        <v>300</v>
      </c>
      <c r="B15" s="62">
        <f>Bid(OptionSymbol($A$6,$B$6,"Call",A15))</f>
        <v/>
      </c>
      <c r="C15" s="62">
        <f>Ask(OptionSymbol($A$6,$B$6,"Call",A15))</f>
        <v/>
      </c>
      <c r="D15" s="62">
        <f>(B15+C15)/2</f>
        <v/>
      </c>
      <c r="E15" s="55">
        <f>opt_ImpliedVolatility($A$6,D15,$B$6,"Call",A15,'Payoff Chart'!$E$6,'Payoff Chart'!$F$6)</f>
        <v/>
      </c>
      <c r="F15" s="84">
        <f>QM_OpenInterest(OptionSymbol($A$6,$B$6,"Call",A15))</f>
        <v/>
      </c>
      <c r="G15" s="85">
        <f>opt_Delta($A$6,D15,$B$6,"Call",A15,'Payoff Chart'!$E$6,'Payoff Chart'!$F$6,E15)</f>
        <v/>
      </c>
      <c r="H15" s="86">
        <f>opt_Gamma($A$6,D15,$B$6,"Call",A15,'Payoff Chart'!$E$6,'Payoff Chart'!$F$6,E15)</f>
        <v/>
      </c>
      <c r="I15" s="85">
        <f>opt_Theta($A$6,D15,$B$6,"Call",A15,'Payoff Chart'!$E$6,'Payoff Chart'!$F$6,E15)</f>
        <v/>
      </c>
      <c r="J15" s="85">
        <f>opt_Vega($A$6,D15,$B$6,"Call",A15,'Payoff Chart'!$E$6,'Payoff Chart'!$F$6,E15)</f>
        <v/>
      </c>
      <c r="K15" s="62">
        <f>Bid(OptionSymbol($A$6,$B$6,"Put",A15))</f>
        <v/>
      </c>
      <c r="L15" s="62">
        <f>Ask(OptionSymbol($A$6,$B$6,"Put",A15))</f>
        <v/>
      </c>
      <c r="M15" s="62">
        <f>(K15+L15)/2</f>
        <v/>
      </c>
      <c r="N15" s="55">
        <f>opt_ImpliedVolatility($A$6,M15,$B$6,"Put",A15,'Payoff Chart'!$E$6,'Payoff Chart'!$F$6)</f>
        <v/>
      </c>
      <c r="O15" s="84">
        <f>QM_OpenInterest(OptionSymbol($A$6,$B$6,"Put",A15))</f>
        <v/>
      </c>
      <c r="P15" s="85">
        <f>opt_Delta($A$6,M15,$B$6,"Put",A15,'Payoff Chart'!$E$6,'Payoff Chart'!$F$6,N15)</f>
        <v/>
      </c>
      <c r="Q15" s="85">
        <f>opt_Theta($A$6,M15,$B$6,"Put",A15,'Payoff Chart'!$E$6,'Payoff Chart'!$F$6,N15)</f>
        <v/>
      </c>
    </row>
    <row r="16">
      <c r="A16" s="87" t="n">
        <v>305</v>
      </c>
      <c r="B16" s="88">
        <f>Bid(OptionSymbol($A$6,$B$6,"Call",A16))</f>
        <v/>
      </c>
      <c r="C16" s="88">
        <f>Ask(OptionSymbol($A$6,$B$6,"Call",A16))</f>
        <v/>
      </c>
      <c r="D16" s="88">
        <f>(B16+C16)/2</f>
        <v/>
      </c>
      <c r="E16" s="89">
        <f>opt_ImpliedVolatility($A$6,D16,$B$6,"Call",A16,'Payoff Chart'!$E$6,'Payoff Chart'!$F$6)</f>
        <v/>
      </c>
      <c r="F16" s="90">
        <f>QM_OpenInterest(OptionSymbol($A$6,$B$6,"Call",A16))</f>
        <v/>
      </c>
      <c r="G16" s="91">
        <f>opt_Delta($A$6,D16,$B$6,"Call",A16,'Payoff Chart'!$E$6,'Payoff Chart'!$F$6,E16)</f>
        <v/>
      </c>
      <c r="H16" s="92">
        <f>opt_Gamma($A$6,D16,$B$6,"Call",A16,'Payoff Chart'!$E$6,'Payoff Chart'!$F$6,E16)</f>
        <v/>
      </c>
      <c r="I16" s="91">
        <f>opt_Theta($A$6,D16,$B$6,"Call",A16,'Payoff Chart'!$E$6,'Payoff Chart'!$F$6,E16)</f>
        <v/>
      </c>
      <c r="J16" s="91">
        <f>opt_Vega($A$6,D16,$B$6,"Call",A16,'Payoff Chart'!$E$6,'Payoff Chart'!$F$6,E16)</f>
        <v/>
      </c>
      <c r="K16" s="88">
        <f>Bid(OptionSymbol($A$6,$B$6,"Put",A16))</f>
        <v/>
      </c>
      <c r="L16" s="88">
        <f>Ask(OptionSymbol($A$6,$B$6,"Put",A16))</f>
        <v/>
      </c>
      <c r="M16" s="88">
        <f>(K16+L16)/2</f>
        <v/>
      </c>
      <c r="N16" s="89">
        <f>opt_ImpliedVolatility($A$6,M16,$B$6,"Put",A16,'Payoff Chart'!$E$6,'Payoff Chart'!$F$6)</f>
        <v/>
      </c>
      <c r="O16" s="90">
        <f>QM_OpenInterest(OptionSymbol($A$6,$B$6,"Put",A16))</f>
        <v/>
      </c>
      <c r="P16" s="91">
        <f>opt_Delta($A$6,M16,$B$6,"Put",A16,'Payoff Chart'!$E$6,'Payoff Chart'!$F$6,N16)</f>
        <v/>
      </c>
      <c r="Q16" s="91">
        <f>opt_Theta($A$6,M16,$B$6,"Put",A16,'Payoff Chart'!$E$6,'Payoff Chart'!$F$6,N16)</f>
        <v/>
      </c>
    </row>
    <row r="17">
      <c r="A17" s="53" t="n">
        <v>310</v>
      </c>
      <c r="B17" s="62">
        <f>Bid(OptionSymbol($A$6,$B$6,"Call",A17))</f>
        <v/>
      </c>
      <c r="C17" s="62">
        <f>Ask(OptionSymbol($A$6,$B$6,"Call",A17))</f>
        <v/>
      </c>
      <c r="D17" s="62">
        <f>(B17+C17)/2</f>
        <v/>
      </c>
      <c r="E17" s="55">
        <f>opt_ImpliedVolatility($A$6,D17,$B$6,"Call",A17,'Payoff Chart'!$E$6,'Payoff Chart'!$F$6)</f>
        <v/>
      </c>
      <c r="F17" s="84">
        <f>QM_OpenInterest(OptionSymbol($A$6,$B$6,"Call",A17))</f>
        <v/>
      </c>
      <c r="G17" s="85">
        <f>opt_Delta($A$6,D17,$B$6,"Call",A17,'Payoff Chart'!$E$6,'Payoff Chart'!$F$6,E17)</f>
        <v/>
      </c>
      <c r="H17" s="86">
        <f>opt_Gamma($A$6,D17,$B$6,"Call",A17,'Payoff Chart'!$E$6,'Payoff Chart'!$F$6,E17)</f>
        <v/>
      </c>
      <c r="I17" s="85">
        <f>opt_Theta($A$6,D17,$B$6,"Call",A17,'Payoff Chart'!$E$6,'Payoff Chart'!$F$6,E17)</f>
        <v/>
      </c>
      <c r="J17" s="85">
        <f>opt_Vega($A$6,D17,$B$6,"Call",A17,'Payoff Chart'!$E$6,'Payoff Chart'!$F$6,E17)</f>
        <v/>
      </c>
      <c r="K17" s="62">
        <f>Bid(OptionSymbol($A$6,$B$6,"Put",A17))</f>
        <v/>
      </c>
      <c r="L17" s="62">
        <f>Ask(OptionSymbol($A$6,$B$6,"Put",A17))</f>
        <v/>
      </c>
      <c r="M17" s="62">
        <f>(K17+L17)/2</f>
        <v/>
      </c>
      <c r="N17" s="55">
        <f>opt_ImpliedVolatility($A$6,M17,$B$6,"Put",A17,'Payoff Chart'!$E$6,'Payoff Chart'!$F$6)</f>
        <v/>
      </c>
      <c r="O17" s="84">
        <f>QM_OpenInterest(OptionSymbol($A$6,$B$6,"Put",A17))</f>
        <v/>
      </c>
      <c r="P17" s="85">
        <f>opt_Delta($A$6,M17,$B$6,"Put",A17,'Payoff Chart'!$E$6,'Payoff Chart'!$F$6,N17)</f>
        <v/>
      </c>
      <c r="Q17" s="85">
        <f>opt_Theta($A$6,M17,$B$6,"Put",A17,'Payoff Chart'!$E$6,'Payoff Chart'!$F$6,N17)</f>
        <v/>
      </c>
    </row>
    <row r="18">
      <c r="A18" s="48" t="n">
        <v>315</v>
      </c>
      <c r="B18" s="60">
        <f>Bid(OptionSymbol($A$6,$B$6,"Call",A18))</f>
        <v/>
      </c>
      <c r="C18" s="60">
        <f>Ask(OptionSymbol($A$6,$B$6,"Call",A18))</f>
        <v/>
      </c>
      <c r="D18" s="60">
        <f>(B18+C18)/2</f>
        <v/>
      </c>
      <c r="E18" s="50">
        <f>opt_ImpliedVolatility($A$6,D18,$B$6,"Call",A18,'Payoff Chart'!$E$6,'Payoff Chart'!$F$6)</f>
        <v/>
      </c>
      <c r="F18" s="81">
        <f>QM_OpenInterest(OptionSymbol($A$6,$B$6,"Call",A18))</f>
        <v/>
      </c>
      <c r="G18" s="82">
        <f>opt_Delta($A$6,D18,$B$6,"Call",A18,'Payoff Chart'!$E$6,'Payoff Chart'!$F$6,E18)</f>
        <v/>
      </c>
      <c r="H18" s="83">
        <f>opt_Gamma($A$6,D18,$B$6,"Call",A18,'Payoff Chart'!$E$6,'Payoff Chart'!$F$6,E18)</f>
        <v/>
      </c>
      <c r="I18" s="82">
        <f>opt_Theta($A$6,D18,$B$6,"Call",A18,'Payoff Chart'!$E$6,'Payoff Chart'!$F$6,E18)</f>
        <v/>
      </c>
      <c r="J18" s="82">
        <f>opt_Vega($A$6,D18,$B$6,"Call",A18,'Payoff Chart'!$E$6,'Payoff Chart'!$F$6,E18)</f>
        <v/>
      </c>
      <c r="K18" s="60">
        <f>Bid(OptionSymbol($A$6,$B$6,"Put",A18))</f>
        <v/>
      </c>
      <c r="L18" s="60">
        <f>Ask(OptionSymbol($A$6,$B$6,"Put",A18))</f>
        <v/>
      </c>
      <c r="M18" s="60">
        <f>(K18+L18)/2</f>
        <v/>
      </c>
      <c r="N18" s="50">
        <f>opt_ImpliedVolatility($A$6,M18,$B$6,"Put",A18,'Payoff Chart'!$E$6,'Payoff Chart'!$F$6)</f>
        <v/>
      </c>
      <c r="O18" s="81">
        <f>QM_OpenInterest(OptionSymbol($A$6,$B$6,"Put",A18))</f>
        <v/>
      </c>
      <c r="P18" s="82">
        <f>opt_Delta($A$6,M18,$B$6,"Put",A18,'Payoff Chart'!$E$6,'Payoff Chart'!$F$6,N18)</f>
        <v/>
      </c>
      <c r="Q18" s="82">
        <f>opt_Theta($A$6,M18,$B$6,"Put",A18,'Payoff Chart'!$E$6,'Payoff Chart'!$F$6,N18)</f>
        <v/>
      </c>
    </row>
    <row r="19">
      <c r="A19" s="53" t="n">
        <v>320</v>
      </c>
      <c r="B19" s="62">
        <f>Bid(OptionSymbol($A$6,$B$6,"Call",A19))</f>
        <v/>
      </c>
      <c r="C19" s="62">
        <f>Ask(OptionSymbol($A$6,$B$6,"Call",A19))</f>
        <v/>
      </c>
      <c r="D19" s="62">
        <f>(B19+C19)/2</f>
        <v/>
      </c>
      <c r="E19" s="55">
        <f>opt_ImpliedVolatility($A$6,D19,$B$6,"Call",A19,'Payoff Chart'!$E$6,'Payoff Chart'!$F$6)</f>
        <v/>
      </c>
      <c r="F19" s="84">
        <f>QM_OpenInterest(OptionSymbol($A$6,$B$6,"Call",A19))</f>
        <v/>
      </c>
      <c r="G19" s="85">
        <f>opt_Delta($A$6,D19,$B$6,"Call",A19,'Payoff Chart'!$E$6,'Payoff Chart'!$F$6,E19)</f>
        <v/>
      </c>
      <c r="H19" s="86">
        <f>opt_Gamma($A$6,D19,$B$6,"Call",A19,'Payoff Chart'!$E$6,'Payoff Chart'!$F$6,E19)</f>
        <v/>
      </c>
      <c r="I19" s="85">
        <f>opt_Theta($A$6,D19,$B$6,"Call",A19,'Payoff Chart'!$E$6,'Payoff Chart'!$F$6,E19)</f>
        <v/>
      </c>
      <c r="J19" s="85">
        <f>opt_Vega($A$6,D19,$B$6,"Call",A19,'Payoff Chart'!$E$6,'Payoff Chart'!$F$6,E19)</f>
        <v/>
      </c>
      <c r="K19" s="62">
        <f>Bid(OptionSymbol($A$6,$B$6,"Put",A19))</f>
        <v/>
      </c>
      <c r="L19" s="62">
        <f>Ask(OptionSymbol($A$6,$B$6,"Put",A19))</f>
        <v/>
      </c>
      <c r="M19" s="62">
        <f>(K19+L19)/2</f>
        <v/>
      </c>
      <c r="N19" s="55">
        <f>opt_ImpliedVolatility($A$6,M19,$B$6,"Put",A19,'Payoff Chart'!$E$6,'Payoff Chart'!$F$6)</f>
        <v/>
      </c>
      <c r="O19" s="84">
        <f>QM_OpenInterest(OptionSymbol($A$6,$B$6,"Put",A19))</f>
        <v/>
      </c>
      <c r="P19" s="85">
        <f>opt_Delta($A$6,M19,$B$6,"Put",A19,'Payoff Chart'!$E$6,'Payoff Chart'!$F$6,N19)</f>
        <v/>
      </c>
      <c r="Q19" s="85">
        <f>opt_Theta($A$6,M19,$B$6,"Put",A19,'Payoff Chart'!$E$6,'Payoff Chart'!$F$6,N19)</f>
        <v/>
      </c>
    </row>
    <row r="20">
      <c r="A20" s="48" t="n">
        <v>325</v>
      </c>
      <c r="B20" s="60">
        <f>Bid(OptionSymbol($A$6,$B$6,"Call",A20))</f>
        <v/>
      </c>
      <c r="C20" s="60">
        <f>Ask(OptionSymbol($A$6,$B$6,"Call",A20))</f>
        <v/>
      </c>
      <c r="D20" s="60">
        <f>(B20+C20)/2</f>
        <v/>
      </c>
      <c r="E20" s="50">
        <f>opt_ImpliedVolatility($A$6,D20,$B$6,"Call",A20,'Payoff Chart'!$E$6,'Payoff Chart'!$F$6)</f>
        <v/>
      </c>
      <c r="F20" s="81">
        <f>QM_OpenInterest(OptionSymbol($A$6,$B$6,"Call",A20))</f>
        <v/>
      </c>
      <c r="G20" s="82">
        <f>opt_Delta($A$6,D20,$B$6,"Call",A20,'Payoff Chart'!$E$6,'Payoff Chart'!$F$6,E20)</f>
        <v/>
      </c>
      <c r="H20" s="83">
        <f>opt_Gamma($A$6,D20,$B$6,"Call",A20,'Payoff Chart'!$E$6,'Payoff Chart'!$F$6,E20)</f>
        <v/>
      </c>
      <c r="I20" s="82">
        <f>opt_Theta($A$6,D20,$B$6,"Call",A20,'Payoff Chart'!$E$6,'Payoff Chart'!$F$6,E20)</f>
        <v/>
      </c>
      <c r="J20" s="82">
        <f>opt_Vega($A$6,D20,$B$6,"Call",A20,'Payoff Chart'!$E$6,'Payoff Chart'!$F$6,E20)</f>
        <v/>
      </c>
      <c r="K20" s="60">
        <f>Bid(OptionSymbol($A$6,$B$6,"Put",A20))</f>
        <v/>
      </c>
      <c r="L20" s="60">
        <f>Ask(OptionSymbol($A$6,$B$6,"Put",A20))</f>
        <v/>
      </c>
      <c r="M20" s="60">
        <f>(K20+L20)/2</f>
        <v/>
      </c>
      <c r="N20" s="50">
        <f>opt_ImpliedVolatility($A$6,M20,$B$6,"Put",A20,'Payoff Chart'!$E$6,'Payoff Chart'!$F$6)</f>
        <v/>
      </c>
      <c r="O20" s="81">
        <f>QM_OpenInterest(OptionSymbol($A$6,$B$6,"Put",A20))</f>
        <v/>
      </c>
      <c r="P20" s="82">
        <f>opt_Delta($A$6,M20,$B$6,"Put",A20,'Payoff Chart'!$E$6,'Payoff Chart'!$F$6,N20)</f>
        <v/>
      </c>
      <c r="Q20" s="82">
        <f>opt_Theta($A$6,M20,$B$6,"Put",A20,'Payoff Chart'!$E$6,'Payoff Chart'!$F$6,N20)</f>
        <v/>
      </c>
    </row>
    <row r="21">
      <c r="A21" s="53" t="n">
        <v>330</v>
      </c>
      <c r="B21" s="62">
        <f>Bid(OptionSymbol($A$6,$B$6,"Call",A21))</f>
        <v/>
      </c>
      <c r="C21" s="62">
        <f>Ask(OptionSymbol($A$6,$B$6,"Call",A21))</f>
        <v/>
      </c>
      <c r="D21" s="62">
        <f>(B21+C21)/2</f>
        <v/>
      </c>
      <c r="E21" s="55">
        <f>opt_ImpliedVolatility($A$6,D21,$B$6,"Call",A21,'Payoff Chart'!$E$6,'Payoff Chart'!$F$6)</f>
        <v/>
      </c>
      <c r="F21" s="84">
        <f>QM_OpenInterest(OptionSymbol($A$6,$B$6,"Call",A21))</f>
        <v/>
      </c>
      <c r="G21" s="85">
        <f>opt_Delta($A$6,D21,$B$6,"Call",A21,'Payoff Chart'!$E$6,'Payoff Chart'!$F$6,E21)</f>
        <v/>
      </c>
      <c r="H21" s="86">
        <f>opt_Gamma($A$6,D21,$B$6,"Call",A21,'Payoff Chart'!$E$6,'Payoff Chart'!$F$6,E21)</f>
        <v/>
      </c>
      <c r="I21" s="85">
        <f>opt_Theta($A$6,D21,$B$6,"Call",A21,'Payoff Chart'!$E$6,'Payoff Chart'!$F$6,E21)</f>
        <v/>
      </c>
      <c r="J21" s="85">
        <f>opt_Vega($A$6,D21,$B$6,"Call",A21,'Payoff Chart'!$E$6,'Payoff Chart'!$F$6,E21)</f>
        <v/>
      </c>
      <c r="K21" s="62">
        <f>Bid(OptionSymbol($A$6,$B$6,"Put",A21))</f>
        <v/>
      </c>
      <c r="L21" s="62">
        <f>Ask(OptionSymbol($A$6,$B$6,"Put",A21))</f>
        <v/>
      </c>
      <c r="M21" s="62">
        <f>(K21+L21)/2</f>
        <v/>
      </c>
      <c r="N21" s="55">
        <f>opt_ImpliedVolatility($A$6,M21,$B$6,"Put",A21,'Payoff Chart'!$E$6,'Payoff Chart'!$F$6)</f>
        <v/>
      </c>
      <c r="O21" s="84">
        <f>QM_OpenInterest(OptionSymbol($A$6,$B$6,"Put",A21))</f>
        <v/>
      </c>
      <c r="P21" s="85">
        <f>opt_Delta($A$6,M21,$B$6,"Put",A21,'Payoff Chart'!$E$6,'Payoff Chart'!$F$6,N21)</f>
        <v/>
      </c>
      <c r="Q21" s="85">
        <f>opt_Theta($A$6,M21,$B$6,"Put",A21,'Payoff Chart'!$E$6,'Payoff Chart'!$F$6,N21)</f>
        <v/>
      </c>
    </row>
    <row r="22">
      <c r="A22" s="48" t="n">
        <v>335</v>
      </c>
      <c r="B22" s="60">
        <f>Bid(OptionSymbol($A$6,$B$6,"Call",A22))</f>
        <v/>
      </c>
      <c r="C22" s="60">
        <f>Ask(OptionSymbol($A$6,$B$6,"Call",A22))</f>
        <v/>
      </c>
      <c r="D22" s="60">
        <f>(B22+C22)/2</f>
        <v/>
      </c>
      <c r="E22" s="50">
        <f>opt_ImpliedVolatility($A$6,D22,$B$6,"Call",A22,'Payoff Chart'!$E$6,'Payoff Chart'!$F$6)</f>
        <v/>
      </c>
      <c r="F22" s="81">
        <f>QM_OpenInterest(OptionSymbol($A$6,$B$6,"Call",A22))</f>
        <v/>
      </c>
      <c r="G22" s="82">
        <f>opt_Delta($A$6,D22,$B$6,"Call",A22,'Payoff Chart'!$E$6,'Payoff Chart'!$F$6,E22)</f>
        <v/>
      </c>
      <c r="H22" s="83">
        <f>opt_Gamma($A$6,D22,$B$6,"Call",A22,'Payoff Chart'!$E$6,'Payoff Chart'!$F$6,E22)</f>
        <v/>
      </c>
      <c r="I22" s="82">
        <f>opt_Theta($A$6,D22,$B$6,"Call",A22,'Payoff Chart'!$E$6,'Payoff Chart'!$F$6,E22)</f>
        <v/>
      </c>
      <c r="J22" s="82">
        <f>opt_Vega($A$6,D22,$B$6,"Call",A22,'Payoff Chart'!$E$6,'Payoff Chart'!$F$6,E22)</f>
        <v/>
      </c>
      <c r="K22" s="60">
        <f>Bid(OptionSymbol($A$6,$B$6,"Put",A22))</f>
        <v/>
      </c>
      <c r="L22" s="60">
        <f>Ask(OptionSymbol($A$6,$B$6,"Put",A22))</f>
        <v/>
      </c>
      <c r="M22" s="60">
        <f>(K22+L22)/2</f>
        <v/>
      </c>
      <c r="N22" s="50">
        <f>opt_ImpliedVolatility($A$6,M22,$B$6,"Put",A22,'Payoff Chart'!$E$6,'Payoff Chart'!$F$6)</f>
        <v/>
      </c>
      <c r="O22" s="81">
        <f>QM_OpenInterest(OptionSymbol($A$6,$B$6,"Put",A22))</f>
        <v/>
      </c>
      <c r="P22" s="82">
        <f>opt_Delta($A$6,M22,$B$6,"Put",A22,'Payoff Chart'!$E$6,'Payoff Chart'!$F$6,N22)</f>
        <v/>
      </c>
      <c r="Q22" s="82">
        <f>opt_Theta($A$6,M22,$B$6,"Put",A22,'Payoff Chart'!$E$6,'Payoff Chart'!$F$6,N22)</f>
        <v/>
      </c>
    </row>
    <row r="23">
      <c r="A23" s="53" t="n">
        <v>340</v>
      </c>
      <c r="B23" s="62">
        <f>Bid(OptionSymbol($A$6,$B$6,"Call",A23))</f>
        <v/>
      </c>
      <c r="C23" s="62">
        <f>Ask(OptionSymbol($A$6,$B$6,"Call",A23))</f>
        <v/>
      </c>
      <c r="D23" s="62">
        <f>(B23+C23)/2</f>
        <v/>
      </c>
      <c r="E23" s="55">
        <f>opt_ImpliedVolatility($A$6,D23,$B$6,"Call",A23,'Payoff Chart'!$E$6,'Payoff Chart'!$F$6)</f>
        <v/>
      </c>
      <c r="F23" s="84">
        <f>QM_OpenInterest(OptionSymbol($A$6,$B$6,"Call",A23))</f>
        <v/>
      </c>
      <c r="G23" s="85">
        <f>opt_Delta($A$6,D23,$B$6,"Call",A23,'Payoff Chart'!$E$6,'Payoff Chart'!$F$6,E23)</f>
        <v/>
      </c>
      <c r="H23" s="86">
        <f>opt_Gamma($A$6,D23,$B$6,"Call",A23,'Payoff Chart'!$E$6,'Payoff Chart'!$F$6,E23)</f>
        <v/>
      </c>
      <c r="I23" s="85">
        <f>opt_Theta($A$6,D23,$B$6,"Call",A23,'Payoff Chart'!$E$6,'Payoff Chart'!$F$6,E23)</f>
        <v/>
      </c>
      <c r="J23" s="85">
        <f>opt_Vega($A$6,D23,$B$6,"Call",A23,'Payoff Chart'!$E$6,'Payoff Chart'!$F$6,E23)</f>
        <v/>
      </c>
      <c r="K23" s="62">
        <f>Bid(OptionSymbol($A$6,$B$6,"Put",A23))</f>
        <v/>
      </c>
      <c r="L23" s="62">
        <f>Ask(OptionSymbol($A$6,$B$6,"Put",A23))</f>
        <v/>
      </c>
      <c r="M23" s="62">
        <f>(K23+L23)/2</f>
        <v/>
      </c>
      <c r="N23" s="55">
        <f>opt_ImpliedVolatility($A$6,M23,$B$6,"Put",A23,'Payoff Chart'!$E$6,'Payoff Chart'!$F$6)</f>
        <v/>
      </c>
      <c r="O23" s="84">
        <f>QM_OpenInterest(OptionSymbol($A$6,$B$6,"Put",A23))</f>
        <v/>
      </c>
      <c r="P23" s="85">
        <f>opt_Delta($A$6,M23,$B$6,"Put",A23,'Payoff Chart'!$E$6,'Payoff Chart'!$F$6,N23)</f>
        <v/>
      </c>
      <c r="Q23" s="85">
        <f>opt_Theta($A$6,M23,$B$6,"Put",A23,'Payoff Chart'!$E$6,'Payoff Chart'!$F$6,N23)</f>
        <v/>
      </c>
    </row>
    <row r="25" ht="20" customHeight="1">
      <c r="A25" s="3" t="inlineStr">
        <is>
          <t>What Each Greek Does To The Payoff Chart</t>
        </is>
      </c>
    </row>
    <row r="26" ht="28" customHeight="1">
      <c r="A26" s="19" t="inlineStr">
        <is>
          <t>Delta</t>
        </is>
      </c>
      <c r="B26" s="18" t="inlineStr">
        <is>
          <t>The slope of the pre-expiry line. A position delta of 0.42 means the curve rises about $42 per contract for a one dollar move up.</t>
        </is>
      </c>
    </row>
    <row r="27" ht="28" customHeight="1">
      <c r="A27" s="19" t="inlineStr">
        <is>
          <t>Gamma</t>
        </is>
      </c>
      <c r="B27" s="18" t="inlineStr">
        <is>
          <t>How fast that slope changes. High gamma near the strike is why the pre-expiry curve bends sharply where the expiry line has a hard elbow.</t>
        </is>
      </c>
    </row>
    <row r="28" ht="28" customHeight="1">
      <c r="A28" s="19" t="inlineStr">
        <is>
          <t>Theta</t>
        </is>
      </c>
      <c r="B28" s="18" t="inlineStr">
        <is>
          <t>How far the pre-expiry curve falls toward the expiry line each day. It is the shrinking of the gap between the two lines.</t>
        </is>
      </c>
    </row>
    <row r="29" ht="28" customHeight="1">
      <c r="A29" s="19" t="inlineStr">
        <is>
          <t>Vega</t>
        </is>
      </c>
      <c r="B29" s="18" t="inlineStr">
        <is>
          <t>How far the whole pre-expiry curve lifts or drops when implied volatility changes. The expiry line does not move, only the curve above it.</t>
        </is>
      </c>
    </row>
    <row r="30" ht="28" customHeight="1">
      <c r="A30" s="19" t="inlineStr">
        <is>
          <t>Rho</t>
        </is>
      </c>
      <c r="B30" s="18" t="inlineStr">
        <is>
          <t>How the curve shifts when interest rates change. It matters for long dated contracts and is close to irrelevant for weekly ones.</t>
        </is>
      </c>
    </row>
    <row r="32" ht="20" customHeight="1">
      <c r="A32" s="3" t="inlineStr">
        <is>
          <t>MarketXLS Functions Used in This Sheet</t>
        </is>
      </c>
    </row>
    <row r="33">
      <c r="A33" s="22">
        <f>opt_Delta(spot,price,expiry,"Call",strike,rate,divYield,iv)</f>
        <v/>
      </c>
      <c r="D33" s="23" t="inlineStr">
        <is>
          <t>Delta, the slope of the payoff curve</t>
        </is>
      </c>
    </row>
    <row r="34">
      <c r="A34" s="22">
        <f>opt_Gamma(spot,price,expiry,"Call",strike,rate,divYield,iv)</f>
        <v/>
      </c>
      <c r="D34" s="23" t="inlineStr">
        <is>
          <t>Gamma, the curvature of that slope</t>
        </is>
      </c>
    </row>
    <row r="35">
      <c r="A35" s="22">
        <f>opt_Theta(spot,price,expiry,"Call",strike,rate,divYield,iv)</f>
        <v/>
      </c>
      <c r="D35" s="23" t="inlineStr">
        <is>
          <t>Theta, daily decay toward the expiry line</t>
        </is>
      </c>
    </row>
    <row r="36">
      <c r="A36" s="22">
        <f>opt_Vega(spot,price,expiry,"Call",strike,rate,divYield,iv)</f>
        <v/>
      </c>
      <c r="D36" s="23" t="inlineStr">
        <is>
          <t>Vega, sensitivity to implied volatility</t>
        </is>
      </c>
    </row>
    <row r="37">
      <c r="A37" s="22">
        <f>opt_Rho(spot,price,expiry,"Call",strike,rate,divYield,iv)</f>
        <v/>
      </c>
      <c r="D37" s="23" t="inlineStr">
        <is>
          <t>Rho, sensitivity to the risk free rate</t>
        </is>
      </c>
    </row>
    <row r="38">
      <c r="A38" s="22">
        <f>OPT_IntrinsicValue(optSymbol,spot)</f>
        <v/>
      </c>
      <c r="D38" s="23" t="inlineStr">
        <is>
          <t>Intrinsic value, the at expiry payoff before cost</t>
        </is>
      </c>
    </row>
    <row r="39">
      <c r="A39" s="22">
        <f>OPT_TimeValue(optSymbol,optPrice,spot)</f>
        <v/>
      </c>
      <c r="D39" s="23" t="inlineStr">
        <is>
          <t>Time value, the gap between the two payoff lines</t>
        </is>
      </c>
    </row>
    <row r="40">
      <c r="A40" s="22">
        <f>ImpliedVolatility30d("AAPL")</f>
        <v/>
      </c>
      <c r="D40" s="23" t="inlineStr">
        <is>
          <t>30 day implied volatility for the underlying</t>
        </is>
      </c>
    </row>
    <row r="42">
      <c r="A42" s="24" t="inlineStr">
        <is>
          <t>Powered by MarketXLS   |   https://marketxls.com   |   Book a demo: https://marketxls.com/book-demo</t>
        </is>
      </c>
    </row>
  </sheetData>
  <mergeCells count="28">
    <mergeCell ref="B28:Q28"/>
    <mergeCell ref="D35:Q35"/>
    <mergeCell ref="A37:C37"/>
    <mergeCell ref="D34:Q34"/>
    <mergeCell ref="B30:Q30"/>
    <mergeCell ref="A1:Q1"/>
    <mergeCell ref="D40:Q40"/>
    <mergeCell ref="D36:Q36"/>
    <mergeCell ref="A33:C33"/>
    <mergeCell ref="B26:Q26"/>
    <mergeCell ref="A25:Q25"/>
    <mergeCell ref="A35:C35"/>
    <mergeCell ref="A38:C38"/>
    <mergeCell ref="B27:Q27"/>
    <mergeCell ref="A40:C40"/>
    <mergeCell ref="A2:Q2"/>
    <mergeCell ref="A42:Q42"/>
    <mergeCell ref="A39:C39"/>
    <mergeCell ref="A34:C34"/>
    <mergeCell ref="D37:Q37"/>
    <mergeCell ref="A32:Q32"/>
    <mergeCell ref="A8:Q8"/>
    <mergeCell ref="A36:C36"/>
    <mergeCell ref="D39:Q39"/>
    <mergeCell ref="A4:Q4"/>
    <mergeCell ref="D33:Q33"/>
    <mergeCell ref="D38:Q38"/>
    <mergeCell ref="B29:Q29"/>
  </mergeCells>
  <conditionalFormatting sqref="G10:G23">
    <cfRule type="colorScale" priority="1">
      <colorScale>
        <cfvo type="min"/>
        <cfvo type="max"/>
        <color rgb="00FFFFFF"/>
        <color rgb="009BC2E6"/>
      </colorScale>
    </cfRule>
  </conditionalFormatting>
  <conditionalFormatting sqref="P10:P23">
    <cfRule type="colorScale" priority="2">
      <colorScale>
        <cfvo type="min"/>
        <cfvo type="max"/>
        <color rgb="00F4B084"/>
        <color rgb="00FFFFFF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2026-08-15T17:55:37Z</dcterms:created>
  <dcterms:modified xsi:type="dcterms:W3CDTF">2026-08-15T17:55:37Z</dcterms:modified>
</cp:coreProperties>
</file>