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ver" sheetId="1" state="visible" r:id="rId1"/>
    <sheet name="How To Use" sheetId="2" state="visible" r:id="rId2"/>
    <sheet name="IV Calculator" sheetId="3" state="visible" r:id="rId3"/>
    <sheet name="Volatility Smile" sheetId="4" state="visible" r:id="rId4"/>
    <sheet name="Term Structure" sheetId="5" state="visible" r:id="rId5"/>
    <sheet name="IV vs HV" sheetId="6" state="visible" r:id="rId6"/>
    <sheet name="Vega Scenarios" sheetId="7" state="visible" r:id="rId7"/>
    <sheet name="Position Sizing" sheetId="8" state="visible" r:id="rId8"/>
  </sheets>
  <definedNames/>
  <calcPr calcId="124519" fullCalcOnLoad="1"/>
</workbook>
</file>

<file path=xl/styles.xml><?xml version="1.0" encoding="utf-8"?>
<styleSheet xmlns="http://schemas.openxmlformats.org/spreadsheetml/2006/main">
  <numFmts count="9">
    <numFmt numFmtId="164" formatCode="&quot;$&quot;#,##0.00"/>
    <numFmt numFmtId="165" formatCode="yyyy-mm-dd"/>
    <numFmt numFmtId="166" formatCode="0.00000"/>
    <numFmt numFmtId="167" formatCode="0.000000"/>
    <numFmt numFmtId="168" formatCode="0.0000"/>
    <numFmt numFmtId="169" formatCode="+0.00%;-0.00%;0.00%"/>
    <numFmt numFmtId="170" formatCode="0.0%"/>
    <numFmt numFmtId="171" formatCode="0.000"/>
    <numFmt numFmtId="172" formatCode="&quot;$&quot;#,##0"/>
  </numFmts>
  <fonts count="26">
    <font>
      <name val="Calibri"/>
      <family val="2"/>
      <color theme="1"/>
      <sz val="11"/>
      <scheme val="minor"/>
    </font>
    <font>
      <b val="1"/>
      <color rgb="00FFFFFF"/>
      <sz val="26"/>
    </font>
    <font>
      <i val="1"/>
      <color rgb="00FFFFFF"/>
      <sz val="11"/>
    </font>
    <font>
      <b val="1"/>
      <color rgb="00003366"/>
      <sz val="11"/>
    </font>
    <font>
      <b val="1"/>
      <color rgb="00003366"/>
      <sz val="10"/>
    </font>
    <font>
      <sz val="10"/>
    </font>
    <font>
      <b val="1"/>
      <color rgb="00FFFFFF"/>
      <sz val="11"/>
    </font>
    <font>
      <b val="1"/>
      <color rgb="000066CC"/>
      <sz val="10"/>
    </font>
    <font>
      <color rgb="006B7280"/>
      <sz val="9"/>
    </font>
    <font>
      <i val="1"/>
      <color rgb="00D62828"/>
      <sz val="9"/>
    </font>
    <font>
      <i val="1"/>
      <color rgb="006B7280"/>
      <sz val="8"/>
    </font>
    <font>
      <b val="1"/>
      <color rgb="00FFFFFF"/>
      <sz val="16"/>
    </font>
    <font>
      <i val="1"/>
      <color rgb="00FFFFFF"/>
      <sz val="10"/>
    </font>
    <font>
      <b val="1"/>
      <color rgb="00FFFFFF"/>
      <sz val="9"/>
    </font>
    <font>
      <color rgb="00111827"/>
      <sz val="9"/>
    </font>
    <font>
      <b val="1"/>
      <color rgb="00FFFFFF"/>
      <sz val="10"/>
    </font>
    <font>
      <name val="Consolas"/>
      <b val="1"/>
      <color rgb="00003366"/>
      <sz val="9"/>
    </font>
    <font>
      <b val="1"/>
      <color rgb="00111827"/>
      <sz val="11"/>
    </font>
    <font>
      <name val="Consolas"/>
      <color rgb="000066CC"/>
      <sz val="8"/>
    </font>
    <font>
      <b val="1"/>
      <sz val="9"/>
    </font>
    <font>
      <sz val="9"/>
    </font>
    <font>
      <b val="1"/>
      <color rgb="002A9D8F"/>
      <sz val="14"/>
    </font>
    <font>
      <b val="1"/>
      <color rgb="000066CC"/>
      <sz val="14"/>
    </font>
    <font>
      <b val="1"/>
      <color rgb="00111827"/>
      <sz val="9"/>
    </font>
    <font>
      <name val="Consolas"/>
      <color rgb="00003366"/>
      <sz val="8"/>
    </font>
    <font>
      <b val="1"/>
      <color rgb="00003366"/>
      <sz val="12"/>
    </font>
  </fonts>
  <fills count="11">
    <fill>
      <patternFill/>
    </fill>
    <fill>
      <patternFill patternType="gray125"/>
    </fill>
    <fill>
      <patternFill patternType="solid">
        <fgColor rgb="00003366"/>
      </patternFill>
    </fill>
    <fill>
      <patternFill patternType="solid">
        <fgColor rgb="000066CC"/>
      </patternFill>
    </fill>
    <fill>
      <patternFill patternType="solid">
        <fgColor rgb="00FFF3B0"/>
      </patternFill>
    </fill>
    <fill>
      <patternFill patternType="solid">
        <fgColor rgb="00F4F6F8"/>
      </patternFill>
    </fill>
    <fill>
      <patternFill patternType="solid">
        <fgColor rgb="00FFF5F5"/>
      </patternFill>
    </fill>
    <fill>
      <patternFill patternType="solid">
        <fgColor rgb="002A9D8F"/>
      </patternFill>
    </fill>
    <fill>
      <patternFill patternType="solid">
        <fgColor rgb="00FFFF00"/>
      </patternFill>
    </fill>
    <fill>
      <patternFill patternType="solid">
        <fgColor rgb="00EAF7F5"/>
      </patternFill>
    </fill>
    <fill>
      <patternFill patternType="solid">
        <fgColor rgb="00EAF2FB"/>
      </patternFill>
    </fill>
  </fills>
  <borders count="3">
    <border>
      <left/>
      <right/>
      <top/>
      <bottom/>
      <diagonal/>
    </border>
    <border>
      <left style="thin">
        <color rgb="00E5E7EB"/>
      </left>
      <right style="thin">
        <color rgb="00E5E7EB"/>
      </right>
      <top style="thin">
        <color rgb="00E5E7EB"/>
      </top>
      <bottom style="thin">
        <color rgb="00E5E7EB"/>
      </bottom>
    </border>
    <border>
      <left style="medium">
        <color rgb="00003366"/>
      </left>
      <right style="medium">
        <color rgb="00003366"/>
      </right>
      <top style="medium">
        <color rgb="00003366"/>
      </top>
      <bottom style="medium">
        <color rgb="00003366"/>
      </bottom>
    </border>
  </borders>
  <cellStyleXfs count="1">
    <xf numFmtId="0" fontId="0" fillId="0" borderId="0"/>
  </cellStyleXfs>
  <cellXfs count="101">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center" vertical="center" wrapText="1"/>
    </xf>
    <xf numFmtId="0" fontId="3" fillId="4" borderId="0" applyAlignment="1" pivotButton="0" quotePrefix="0" xfId="0">
      <alignment horizontal="center" vertical="center" wrapText="1"/>
    </xf>
    <xf numFmtId="0" fontId="4" fillId="5" borderId="0" applyAlignment="1" pivotButton="0" quotePrefix="0" xfId="0">
      <alignment horizontal="left" vertical="center" wrapText="1"/>
    </xf>
    <xf numFmtId="0" fontId="5" fillId="0" borderId="0" applyAlignment="1" pivotButton="0" quotePrefix="0" xfId="0">
      <alignment horizontal="left" vertical="center" wrapText="1"/>
    </xf>
    <xf numFmtId="0" fontId="6" fillId="3" borderId="0" applyAlignment="1" pivotButton="0" quotePrefix="0" xfId="0">
      <alignment horizontal="left" vertical="center" wrapText="1"/>
    </xf>
    <xf numFmtId="0" fontId="7" fillId="0" borderId="0" applyAlignment="1" pivotButton="0" quotePrefix="0" xfId="0">
      <alignment horizontal="left" vertical="center" wrapText="1"/>
    </xf>
    <xf numFmtId="0" fontId="8" fillId="0" borderId="0" applyAlignment="1" pivotButton="0" quotePrefix="0" xfId="0">
      <alignment horizontal="left" vertical="center" wrapText="1"/>
    </xf>
    <xf numFmtId="0" fontId="9" fillId="6" borderId="0" applyAlignment="1" pivotButton="0" quotePrefix="0" xfId="0">
      <alignment horizontal="center" vertical="center" wrapText="1"/>
    </xf>
    <xf numFmtId="0" fontId="10" fillId="5" borderId="0" applyAlignment="1" pivotButton="0" quotePrefix="0" xfId="0">
      <alignment horizontal="center" vertical="center"/>
    </xf>
    <xf numFmtId="0" fontId="11" fillId="2" borderId="0" applyAlignment="1" pivotButton="0" quotePrefix="0" xfId="0">
      <alignment horizontal="left" vertical="center" indent="1"/>
    </xf>
    <xf numFmtId="0" fontId="12" fillId="3" borderId="0" applyAlignment="1" pivotButton="0" quotePrefix="0" xfId="0">
      <alignment horizontal="left" vertical="center" indent="1"/>
    </xf>
    <xf numFmtId="0" fontId="13" fillId="3" borderId="1" applyAlignment="1" pivotButton="0" quotePrefix="0" xfId="0">
      <alignment horizontal="center" vertical="center" wrapText="1"/>
    </xf>
    <xf numFmtId="0" fontId="14" fillId="0" borderId="1" applyAlignment="1" pivotButton="0" quotePrefix="0" xfId="0">
      <alignment horizontal="left" vertical="center" wrapText="1"/>
    </xf>
    <xf numFmtId="0" fontId="14" fillId="5" borderId="1" applyAlignment="1" pivotButton="0" quotePrefix="0" xfId="0">
      <alignment horizontal="left" vertical="center" wrapText="1"/>
    </xf>
    <xf numFmtId="0" fontId="6" fillId="7" borderId="0" applyAlignment="1" pivotButton="0" quotePrefix="0" xfId="0">
      <alignment horizontal="left" vertical="center" wrapText="1"/>
    </xf>
    <xf numFmtId="0" fontId="15" fillId="3" borderId="0" applyAlignment="1" pivotButton="0" quotePrefix="0" xfId="0">
      <alignment horizontal="left" vertical="center" wrapText="1"/>
    </xf>
    <xf numFmtId="0" fontId="16" fillId="0" borderId="0" applyAlignment="1" pivotButton="0" quotePrefix="0" xfId="0">
      <alignment horizontal="left" vertical="center" wrapText="1"/>
    </xf>
    <xf numFmtId="0" fontId="4" fillId="0" borderId="0" applyAlignment="1" pivotButton="0" quotePrefix="0" xfId="0">
      <alignment horizontal="left" vertical="center" wrapText="1"/>
    </xf>
    <xf numFmtId="0" fontId="17" fillId="8" borderId="2" applyAlignment="1" pivotButton="0" quotePrefix="0" xfId="0">
      <alignment horizontal="center" vertical="center" wrapText="1"/>
    </xf>
    <xf numFmtId="0" fontId="10" fillId="0" borderId="0" applyAlignment="1" pivotButton="0" quotePrefix="0" xfId="0">
      <alignment horizontal="left" vertical="center" wrapText="1"/>
    </xf>
    <xf numFmtId="164" fontId="17" fillId="8" borderId="2" applyAlignment="1" pivotButton="0" quotePrefix="0" xfId="0">
      <alignment horizontal="center" vertical="center" wrapText="1"/>
    </xf>
    <xf numFmtId="0" fontId="18" fillId="0" borderId="0" applyAlignment="1" pivotButton="0" quotePrefix="0" xfId="0">
      <alignment horizontal="left" vertical="center" wrapText="1"/>
    </xf>
    <xf numFmtId="165" fontId="17" fillId="8" borderId="2" applyAlignment="1" pivotButton="0" quotePrefix="0" xfId="0">
      <alignment horizontal="center" vertical="center" wrapText="1"/>
    </xf>
    <xf numFmtId="10" fontId="17" fillId="8" borderId="2" applyAlignment="1" pivotButton="0" quotePrefix="0" xfId="0">
      <alignment horizontal="center" vertical="center" wrapText="1"/>
    </xf>
    <xf numFmtId="3" fontId="17" fillId="8" borderId="2" applyAlignment="1" pivotButton="0" quotePrefix="0" xfId="0">
      <alignment horizontal="center" vertical="center" wrapText="1"/>
    </xf>
    <xf numFmtId="3" fontId="5" fillId="0" borderId="1" applyAlignment="1" pivotButton="0" quotePrefix="0" xfId="0">
      <alignment horizontal="center" vertical="center" wrapText="1"/>
    </xf>
    <xf numFmtId="166" fontId="5" fillId="0" borderId="1" applyAlignment="1" pivotButton="0" quotePrefix="0" xfId="0">
      <alignment horizontal="center" vertical="center" wrapText="1"/>
    </xf>
    <xf numFmtId="0" fontId="5" fillId="0" borderId="1" applyAlignment="1" pivotButton="0" quotePrefix="0" xfId="0">
      <alignment horizontal="center" vertical="center" wrapText="1"/>
    </xf>
    <xf numFmtId="3" fontId="14" fillId="0" borderId="1" applyAlignment="1" pivotButton="0" quotePrefix="0" xfId="0">
      <alignment horizontal="center" vertical="center" wrapText="1"/>
    </xf>
    <xf numFmtId="164" fontId="5" fillId="0" borderId="1" applyAlignment="1" pivotButton="0" quotePrefix="0" xfId="0">
      <alignment horizontal="center" vertical="center" wrapText="1"/>
    </xf>
    <xf numFmtId="164" fontId="20" fillId="0" borderId="1" applyAlignment="1" pivotButton="0" quotePrefix="0" xfId="0">
      <alignment horizontal="center" vertical="center" wrapText="1"/>
    </xf>
    <xf numFmtId="167" fontId="5" fillId="0" borderId="1" applyAlignment="1" pivotButton="0" quotePrefix="0" xfId="0">
      <alignment horizontal="center" vertical="center" wrapText="1"/>
    </xf>
    <xf numFmtId="168" fontId="5" fillId="0" borderId="1" applyAlignment="1" pivotButton="0" quotePrefix="0" xfId="0">
      <alignment horizontal="center" vertical="center" wrapText="1"/>
    </xf>
    <xf numFmtId="10" fontId="5" fillId="0" borderId="1" applyAlignment="1" pivotButton="0" quotePrefix="0" xfId="0">
      <alignment horizontal="center" vertical="center" wrapText="1"/>
    </xf>
    <xf numFmtId="0" fontId="10" fillId="0" borderId="1" applyAlignment="1" pivotButton="0" quotePrefix="0" xfId="0">
      <alignment horizontal="left" vertical="center" wrapText="1"/>
    </xf>
    <xf numFmtId="3" fontId="14" fillId="5" borderId="1" applyAlignment="1" pivotButton="0" quotePrefix="0" xfId="0">
      <alignment horizontal="center" vertical="center" wrapText="1"/>
    </xf>
    <xf numFmtId="10" fontId="20" fillId="5" borderId="1" applyAlignment="1" pivotButton="0" quotePrefix="0" xfId="0">
      <alignment horizontal="center" vertical="center" wrapText="1"/>
    </xf>
    <xf numFmtId="164" fontId="5" fillId="5" borderId="1" applyAlignment="1" pivotButton="0" quotePrefix="0" xfId="0">
      <alignment horizontal="center" vertical="center" wrapText="1"/>
    </xf>
    <xf numFmtId="164" fontId="20" fillId="5" borderId="1" applyAlignment="1" pivotButton="0" quotePrefix="0" xfId="0">
      <alignment horizontal="center" vertical="center" wrapText="1"/>
    </xf>
    <xf numFmtId="167" fontId="5" fillId="5" borderId="1" applyAlignment="1" pivotButton="0" quotePrefix="0" xfId="0">
      <alignment horizontal="center" vertical="center" wrapText="1"/>
    </xf>
    <xf numFmtId="168" fontId="5" fillId="5" borderId="1" applyAlignment="1" pivotButton="0" quotePrefix="0" xfId="0">
      <alignment horizontal="center" vertical="center" wrapText="1"/>
    </xf>
    <xf numFmtId="10" fontId="5" fillId="5" borderId="1" applyAlignment="1" pivotButton="0" quotePrefix="0" xfId="0">
      <alignment horizontal="center" vertical="center" wrapText="1"/>
    </xf>
    <xf numFmtId="0" fontId="10" fillId="5" borderId="1" applyAlignment="1" pivotButton="0" quotePrefix="0" xfId="0">
      <alignment horizontal="left" vertical="center" wrapText="1"/>
    </xf>
    <xf numFmtId="10" fontId="20" fillId="0" borderId="1" applyAlignment="1" pivotButton="0" quotePrefix="0" xfId="0">
      <alignment horizontal="center" vertical="center" wrapText="1"/>
    </xf>
    <xf numFmtId="10" fontId="21" fillId="9" borderId="1" applyAlignment="1" pivotButton="0" quotePrefix="0" xfId="0">
      <alignment horizontal="center" vertical="center" wrapText="1"/>
    </xf>
    <xf numFmtId="10" fontId="22" fillId="10" borderId="1" applyAlignment="1" pivotButton="0" quotePrefix="0" xfId="0">
      <alignment horizontal="center" vertical="center" wrapText="1"/>
    </xf>
    <xf numFmtId="164" fontId="14" fillId="0" borderId="1" applyAlignment="1" pivotButton="0" quotePrefix="0" xfId="0">
      <alignment horizontal="center" vertical="center" wrapText="1"/>
    </xf>
    <xf numFmtId="10" fontId="14" fillId="0" borderId="1" applyAlignment="1" pivotButton="0" quotePrefix="0" xfId="0">
      <alignment horizontal="center" vertical="center" wrapText="1"/>
    </xf>
    <xf numFmtId="169" fontId="14" fillId="0" borderId="1" applyAlignment="1" pivotButton="0" quotePrefix="0" xfId="0">
      <alignment horizontal="center" vertical="center" wrapText="1"/>
    </xf>
    <xf numFmtId="0" fontId="14" fillId="0" borderId="1" applyAlignment="1" pivotButton="0" quotePrefix="0" xfId="0">
      <alignment horizontal="center" vertical="center" wrapText="1"/>
    </xf>
    <xf numFmtId="0" fontId="23" fillId="5" borderId="1" applyAlignment="1" pivotButton="0" quotePrefix="0" xfId="0">
      <alignment horizontal="left" vertical="center" wrapText="1"/>
    </xf>
    <xf numFmtId="164" fontId="14" fillId="5" borderId="1" applyAlignment="1" pivotButton="0" quotePrefix="0" xfId="0">
      <alignment horizontal="center" vertical="center" wrapText="1"/>
    </xf>
    <xf numFmtId="10" fontId="23" fillId="5" borderId="1" applyAlignment="1" pivotButton="0" quotePrefix="0" xfId="0">
      <alignment horizontal="center" vertical="center" wrapText="1"/>
    </xf>
    <xf numFmtId="169" fontId="14" fillId="5" borderId="1" applyAlignment="1" pivotButton="0" quotePrefix="0" xfId="0">
      <alignment horizontal="center" vertical="center" wrapText="1"/>
    </xf>
    <xf numFmtId="0" fontId="14" fillId="5" borderId="1" applyAlignment="1" pivotButton="0" quotePrefix="0" xfId="0">
      <alignment horizontal="center" vertical="center" wrapText="1"/>
    </xf>
    <xf numFmtId="10" fontId="14" fillId="5" borderId="1" applyAlignment="1" pivotButton="0" quotePrefix="0" xfId="0">
      <alignment horizontal="center" vertical="center" wrapText="1"/>
    </xf>
    <xf numFmtId="0" fontId="23" fillId="0" borderId="1" applyAlignment="1" pivotButton="0" quotePrefix="0" xfId="0">
      <alignment horizontal="left" vertical="center" wrapText="1"/>
    </xf>
    <xf numFmtId="2" fontId="14" fillId="0" borderId="1" applyAlignment="1" pivotButton="0" quotePrefix="0" xfId="0">
      <alignment horizontal="center" vertical="center" wrapText="1"/>
    </xf>
    <xf numFmtId="2" fontId="14" fillId="5" borderId="1" applyAlignment="1" pivotButton="0" quotePrefix="0" xfId="0">
      <alignment horizontal="center" vertical="center" wrapText="1"/>
    </xf>
    <xf numFmtId="0" fontId="24" fillId="0" borderId="1" applyAlignment="1" pivotButton="0" quotePrefix="0" xfId="0">
      <alignment horizontal="left" vertical="center" wrapText="1"/>
    </xf>
    <xf numFmtId="0" fontId="24" fillId="5" borderId="1" applyAlignment="1" pivotButton="0" quotePrefix="0" xfId="0">
      <alignment horizontal="left" vertical="center" wrapText="1"/>
    </xf>
    <xf numFmtId="170" fontId="14" fillId="5" borderId="1" applyAlignment="1" pivotButton="0" quotePrefix="0" xfId="0">
      <alignment horizontal="center" vertical="center" wrapText="1"/>
    </xf>
    <xf numFmtId="170" fontId="14" fillId="0" borderId="1" applyAlignment="1" pivotButton="0" quotePrefix="0" xfId="0">
      <alignment horizontal="center" vertical="center" wrapText="1"/>
    </xf>
    <xf numFmtId="165" fontId="5" fillId="0" borderId="1" applyAlignment="1" pivotButton="0" quotePrefix="0" xfId="0">
      <alignment horizontal="center" vertical="center" wrapText="1"/>
    </xf>
    <xf numFmtId="171" fontId="14" fillId="0" borderId="1" applyAlignment="1" pivotButton="0" quotePrefix="0" xfId="0">
      <alignment horizontal="center" vertical="center" wrapText="1"/>
    </xf>
    <xf numFmtId="168" fontId="14" fillId="0" borderId="1" applyAlignment="1" pivotButton="0" quotePrefix="0" xfId="0">
      <alignment horizontal="center" vertical="center" wrapText="1"/>
    </xf>
    <xf numFmtId="171" fontId="14" fillId="5" borderId="1" applyAlignment="1" pivotButton="0" quotePrefix="0" xfId="0">
      <alignment horizontal="center" vertical="center" wrapText="1"/>
    </xf>
    <xf numFmtId="168" fontId="14" fillId="5" borderId="1" applyAlignment="1" pivotButton="0" quotePrefix="0" xfId="0">
      <alignment horizontal="center" vertical="center" wrapText="1"/>
    </xf>
    <xf numFmtId="164" fontId="23" fillId="4" borderId="1" applyAlignment="1" pivotButton="0" quotePrefix="0" xfId="0">
      <alignment horizontal="center" vertical="center" wrapText="1"/>
    </xf>
    <xf numFmtId="171" fontId="14" fillId="4" borderId="1" applyAlignment="1" pivotButton="0" quotePrefix="0" xfId="0">
      <alignment horizontal="center" vertical="center" wrapText="1"/>
    </xf>
    <xf numFmtId="164" fontId="14" fillId="4" borderId="1" applyAlignment="1" pivotButton="0" quotePrefix="0" xfId="0">
      <alignment horizontal="center" vertical="center" wrapText="1"/>
    </xf>
    <xf numFmtId="10" fontId="19" fillId="4" borderId="1" applyAlignment="1" pivotButton="0" quotePrefix="0" xfId="0">
      <alignment horizontal="center" vertical="center" wrapText="1"/>
    </xf>
    <xf numFmtId="10" fontId="14" fillId="4" borderId="1" applyAlignment="1" pivotButton="0" quotePrefix="0" xfId="0">
      <alignment horizontal="center" vertical="center" wrapText="1"/>
    </xf>
    <xf numFmtId="168" fontId="14" fillId="4" borderId="1" applyAlignment="1" pivotButton="0" quotePrefix="0" xfId="0">
      <alignment horizontal="center" vertical="center" wrapText="1"/>
    </xf>
    <xf numFmtId="0" fontId="20" fillId="5" borderId="0" applyAlignment="1" pivotButton="0" quotePrefix="0" xfId="0">
      <alignment horizontal="left" vertical="center" wrapText="1"/>
    </xf>
    <xf numFmtId="165" fontId="14" fillId="0" borderId="1" applyAlignment="1" pivotButton="0" quotePrefix="0" xfId="0">
      <alignment horizontal="center" vertical="center" wrapText="1"/>
    </xf>
    <xf numFmtId="165" fontId="14" fillId="5" borderId="1" applyAlignment="1" pivotButton="0" quotePrefix="0" xfId="0">
      <alignment horizontal="center" vertical="center" wrapText="1"/>
    </xf>
    <xf numFmtId="165" fontId="14" fillId="4" borderId="1" applyAlignment="1" pivotButton="0" quotePrefix="0" xfId="0">
      <alignment horizontal="center" vertical="center" wrapText="1"/>
    </xf>
    <xf numFmtId="3" fontId="14" fillId="4" borderId="1" applyAlignment="1" pivotButton="0" quotePrefix="0" xfId="0">
      <alignment horizontal="center" vertical="center" wrapText="1"/>
    </xf>
    <xf numFmtId="10" fontId="23" fillId="4" borderId="1" applyAlignment="1" pivotButton="0" quotePrefix="0" xfId="0">
      <alignment horizontal="center" vertical="center" wrapText="1"/>
    </xf>
    <xf numFmtId="169" fontId="14" fillId="4" borderId="1" applyAlignment="1" pivotButton="0" quotePrefix="0" xfId="0">
      <alignment horizontal="center" vertical="center" wrapText="1"/>
    </xf>
    <xf numFmtId="0" fontId="14" fillId="4" borderId="1" applyAlignment="1" pivotButton="0" quotePrefix="0" xfId="0">
      <alignment horizontal="center" vertical="center" wrapText="1"/>
    </xf>
    <xf numFmtId="0" fontId="10" fillId="4" borderId="1" applyAlignment="1" pivotButton="0" quotePrefix="0" xfId="0">
      <alignment horizontal="left" vertical="center" wrapText="1"/>
    </xf>
    <xf numFmtId="10" fontId="23" fillId="0" borderId="1" applyAlignment="1" pivotButton="0" quotePrefix="0" xfId="0">
      <alignment horizontal="center" vertical="center" wrapText="1"/>
    </xf>
    <xf numFmtId="0" fontId="23" fillId="0" borderId="1" applyAlignment="1" pivotButton="0" quotePrefix="0" xfId="0">
      <alignment horizontal="center" vertical="center" wrapText="1"/>
    </xf>
    <xf numFmtId="2" fontId="23" fillId="0" borderId="1" applyAlignment="1" pivotButton="0" quotePrefix="0" xfId="0">
      <alignment horizontal="center" vertical="center" wrapText="1"/>
    </xf>
    <xf numFmtId="0" fontId="23" fillId="5" borderId="1" applyAlignment="1" pivotButton="0" quotePrefix="0" xfId="0">
      <alignment horizontal="center" vertical="center" wrapText="1"/>
    </xf>
    <xf numFmtId="2" fontId="23" fillId="5" borderId="1" applyAlignment="1" pivotButton="0" quotePrefix="0" xfId="0">
      <alignment horizontal="center" vertical="center" wrapText="1"/>
    </xf>
    <xf numFmtId="172" fontId="14" fillId="0" borderId="1" applyAlignment="1" pivotButton="0" quotePrefix="0" xfId="0">
      <alignment horizontal="center" vertical="center" wrapText="1"/>
    </xf>
    <xf numFmtId="172" fontId="23" fillId="0" borderId="1" applyAlignment="1" pivotButton="0" quotePrefix="0" xfId="0">
      <alignment horizontal="center" vertical="center" wrapText="1"/>
    </xf>
    <xf numFmtId="172" fontId="14" fillId="5" borderId="1" applyAlignment="1" pivotButton="0" quotePrefix="0" xfId="0">
      <alignment horizontal="center" vertical="center" wrapText="1"/>
    </xf>
    <xf numFmtId="172" fontId="23" fillId="5" borderId="1" applyAlignment="1" pivotButton="0" quotePrefix="0" xfId="0">
      <alignment horizontal="center" vertical="center" wrapText="1"/>
    </xf>
    <xf numFmtId="0" fontId="23" fillId="4" borderId="1" applyAlignment="1" pivotButton="0" quotePrefix="0" xfId="0">
      <alignment horizontal="left" vertical="center" wrapText="1"/>
    </xf>
    <xf numFmtId="172" fontId="14" fillId="4" borderId="1" applyAlignment="1" pivotButton="0" quotePrefix="0" xfId="0">
      <alignment horizontal="center" vertical="center" wrapText="1"/>
    </xf>
    <xf numFmtId="172" fontId="23" fillId="4" borderId="1" applyAlignment="1" pivotButton="0" quotePrefix="0" xfId="0">
      <alignment horizontal="center" vertical="center" wrapText="1"/>
    </xf>
    <xf numFmtId="170" fontId="14" fillId="4" borderId="1" applyAlignment="1" pivotButton="0" quotePrefix="0" xfId="0">
      <alignment horizontal="center" vertical="center" wrapText="1"/>
    </xf>
    <xf numFmtId="172" fontId="17" fillId="8" borderId="2" applyAlignment="1" pivotButton="0" quotePrefix="0" xfId="0">
      <alignment horizontal="center" vertical="center" wrapText="1"/>
    </xf>
    <xf numFmtId="170" fontId="17" fillId="8" borderId="2" applyAlignment="1" pivotButton="0" quotePrefix="0" xfId="0">
      <alignment horizontal="center" vertical="center" wrapText="1"/>
    </xf>
    <xf numFmtId="3" fontId="25" fillId="4"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styles" Target="styles.xml" Id="rId9" /><Relationship Type="http://schemas.openxmlformats.org/officeDocument/2006/relationships/theme" Target="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H32"/>
  <sheetViews>
    <sheetView showGridLines="0" workbookViewId="0">
      <selection activeCell="A1" sqref="A1"/>
    </sheetView>
  </sheetViews>
  <sheetFormatPr baseColWidth="8" defaultRowHeight="15"/>
  <cols>
    <col width="13"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2">
      <c r="A2" s="1" t="inlineStr">
        <is>
          <t>IMPLIED VOLATILITY CALCULATOR</t>
        </is>
      </c>
    </row>
    <row r="3"/>
    <row r="4"/>
    <row r="5">
      <c r="A5" s="2" t="inlineStr">
        <is>
          <t>Solve for implied volatility from a live option price, then read the smile, the term structure and the vega exposure that comes with it</t>
        </is>
      </c>
    </row>
    <row r="6"/>
    <row r="8">
      <c r="A8" s="3" t="inlineStr">
        <is>
          <t>LIVE TEMPLATE  -  every data cell is a MarketXLS formula and refreshes on open</t>
        </is>
      </c>
    </row>
    <row r="10">
      <c r="A10" s="4" t="inlineStr">
        <is>
          <t>Worked contract</t>
        </is>
      </c>
      <c r="D10" s="5" t="inlineStr">
        <is>
          <t>NVDA 18 Sep 2026 $230.00 call</t>
        </is>
      </c>
    </row>
    <row r="11">
      <c r="A11" s="4" t="inlineStr">
        <is>
          <t>Underlying price</t>
        </is>
      </c>
      <c r="D11" s="5" t="inlineStr">
        <is>
          <t>$225.16</t>
        </is>
      </c>
    </row>
    <row r="12">
      <c r="A12" s="4" t="inlineStr">
        <is>
          <t>Option mid price</t>
        </is>
      </c>
      <c r="D12" s="5" t="inlineStr">
        <is>
          <t>$8.55  (bid $8.50 / ask $8.60)</t>
        </is>
      </c>
    </row>
    <row r="13">
      <c r="A13" s="4" t="inlineStr">
        <is>
          <t>Days to expiration</t>
        </is>
      </c>
      <c r="D13" s="5" t="inlineStr">
        <is>
          <t>34</t>
        </is>
      </c>
    </row>
    <row r="14">
      <c r="A14" s="4" t="inlineStr">
        <is>
          <t>Solved implied volatility</t>
        </is>
      </c>
      <c r="D14" s="5" t="inlineStr">
        <is>
          <t>37.96%</t>
        </is>
      </c>
    </row>
    <row r="15">
      <c r="A15" s="4" t="inlineStr">
        <is>
          <t>Risk free rate (13 week bill)</t>
        </is>
      </c>
      <c r="D15" s="5" t="inlineStr">
        <is>
          <t>3.697%</t>
        </is>
      </c>
    </row>
    <row r="16">
      <c r="A16" s="4" t="inlineStr">
        <is>
          <t>Dividend yield</t>
        </is>
      </c>
      <c r="D16" s="5" t="inlineStr">
        <is>
          <t>0.44%</t>
        </is>
      </c>
    </row>
    <row r="17">
      <c r="A17" s="4" t="inlineStr">
        <is>
          <t>Next earnings date</t>
        </is>
      </c>
      <c r="D17" s="5" t="inlineStr">
        <is>
          <t>26 Aug 2026</t>
        </is>
      </c>
    </row>
    <row r="18">
      <c r="A18" s="4" t="inlineStr">
        <is>
          <t>Data as of</t>
        </is>
      </c>
      <c r="D18" s="5" t="inlineStr">
        <is>
          <t>2026-08-15</t>
        </is>
      </c>
    </row>
    <row r="20" ht="20" customHeight="1">
      <c r="A20" s="6" t="inlineStr">
        <is>
          <t>What Is In This Workbook</t>
        </is>
      </c>
    </row>
    <row r="21">
      <c r="A21" s="7" t="inlineStr">
        <is>
          <t>How To Use</t>
        </is>
      </c>
      <c r="B21" s="8" t="inlineStr">
        <is>
          <t>Sheet by sheet tutorial and the meaning of every input cell</t>
        </is>
      </c>
    </row>
    <row r="22">
      <c r="A22" s="7" t="inlineStr">
        <is>
          <t>IV Calculator</t>
        </is>
      </c>
      <c r="B22" s="8" t="inlineStr">
        <is>
          <t>Newton-Raphson solver that backs volatility out of a market price</t>
        </is>
      </c>
    </row>
    <row r="23">
      <c r="A23" s="7" t="inlineStr">
        <is>
          <t>Volatility Smile</t>
        </is>
      </c>
      <c r="B23" s="8" t="inlineStr">
        <is>
          <t>Solved IV at every strike, call against put, with vega and delta</t>
        </is>
      </c>
    </row>
    <row r="24">
      <c r="A24" s="7" t="inlineStr">
        <is>
          <t>Term Structure</t>
        </is>
      </c>
      <c r="B24" s="8" t="inlineStr">
        <is>
          <t>ATM IV by expiration, and the earnings kink it exposes</t>
        </is>
      </c>
    </row>
    <row r="25">
      <c r="A25" s="7" t="inlineStr">
        <is>
          <t>IV vs HV</t>
        </is>
      </c>
      <c r="B25" s="8" t="inlineStr">
        <is>
          <t>Implied against realised volatility across a peer group</t>
        </is>
      </c>
    </row>
    <row r="26">
      <c r="A26" s="7" t="inlineStr">
        <is>
          <t>Vega Scenarios</t>
        </is>
      </c>
      <c r="B26" s="8" t="inlineStr">
        <is>
          <t>Position value across joint moves in price and volatility</t>
        </is>
      </c>
    </row>
    <row r="27">
      <c r="A27" s="7" t="inlineStr">
        <is>
          <t>Position Sizing</t>
        </is>
      </c>
      <c r="B27" s="8" t="inlineStr">
        <is>
          <t>Contract count and vega budget from your own account inputs</t>
        </is>
      </c>
    </row>
    <row r="29">
      <c r="A29" s="9" t="inlineStr">
        <is>
          <t>Educational template only. Nothing here is investment advice or a recommendation to buy or sell any security. Option prices move fast, so refresh before you rely on any figure.</t>
        </is>
      </c>
    </row>
    <row r="30"/>
    <row r="32">
      <c r="A32" s="10" t="inlineStr">
        <is>
          <t>Powered by MarketXLS   |   https://marketxls.com   |   Book a demo: https://marketxls.com/book-demo</t>
        </is>
      </c>
    </row>
  </sheetData>
  <mergeCells count="31">
    <mergeCell ref="D10:H10"/>
    <mergeCell ref="A18:C18"/>
    <mergeCell ref="B24:H24"/>
    <mergeCell ref="A12:C12"/>
    <mergeCell ref="A5:H6"/>
    <mergeCell ref="B26:H26"/>
    <mergeCell ref="A29:H30"/>
    <mergeCell ref="A14:C14"/>
    <mergeCell ref="D11:H11"/>
    <mergeCell ref="D13:H13"/>
    <mergeCell ref="A17:C17"/>
    <mergeCell ref="B25:H25"/>
    <mergeCell ref="D17:H17"/>
    <mergeCell ref="A10:C10"/>
    <mergeCell ref="B22:H22"/>
    <mergeCell ref="A13:C13"/>
    <mergeCell ref="D16:H16"/>
    <mergeCell ref="B27:H27"/>
    <mergeCell ref="B21:H21"/>
    <mergeCell ref="A15:C15"/>
    <mergeCell ref="A32:H32"/>
    <mergeCell ref="A8:H8"/>
    <mergeCell ref="D18:H18"/>
    <mergeCell ref="B23:H23"/>
    <mergeCell ref="D12:H12"/>
    <mergeCell ref="A2:H4"/>
    <mergeCell ref="A11:C11"/>
    <mergeCell ref="D15:H15"/>
    <mergeCell ref="A20:H20"/>
    <mergeCell ref="D14:H14"/>
    <mergeCell ref="A16:C16"/>
  </mergeCells>
  <pageMargins left="0.75" right="0.75" top="1" bottom="1" header="0.5" footer="0.5"/>
</worksheet>
</file>

<file path=xl/worksheets/sheet2.xml><?xml version="1.0" encoding="utf-8"?>
<worksheet xmlns="http://schemas.openxmlformats.org/spreadsheetml/2006/main">
  <sheetPr>
    <tabColor rgb="000066CC"/>
    <outlinePr summaryBelow="1" summaryRight="1"/>
    <pageSetUpPr/>
  </sheetPr>
  <dimension ref="A1:H48"/>
  <sheetViews>
    <sheetView showGridLines="0" workbookViewId="0">
      <selection activeCell="A1" sqref="A1"/>
    </sheetView>
  </sheetViews>
  <sheetFormatPr baseColWidth="8" defaultRowHeight="15"/>
  <cols>
    <col width="22" customWidth="1" min="1" max="1"/>
    <col width="42" customWidth="1" min="2" max="2"/>
    <col width="26" customWidth="1" min="3" max="3"/>
    <col width="34" customWidth="1" min="4" max="4"/>
    <col width="16" customWidth="1" min="5" max="5"/>
    <col width="16" customWidth="1" min="6" max="6"/>
    <col width="16" customWidth="1" min="7" max="7"/>
    <col width="16" customWidth="1" min="8" max="8"/>
  </cols>
  <sheetData>
    <row r="1" ht="30" customHeight="1">
      <c r="A1" s="11" t="inlineStr">
        <is>
          <t>How To Use This Workbook</t>
        </is>
      </c>
    </row>
    <row r="2" ht="18" customHeight="1">
      <c r="A2" s="12" t="inlineStr">
        <is>
          <t>Read this sheet first</t>
        </is>
      </c>
    </row>
    <row r="4" ht="20" customHeight="1">
      <c r="A4" s="6" t="inlineStr">
        <is>
          <t>The One Idea Behind This Workbook</t>
        </is>
      </c>
    </row>
    <row r="5">
      <c r="A5" s="5" t="inlineStr">
        <is>
          <t>Black-Scholes turns a volatility into a price. Implied volatility runs that machine backwards: you hold the market price fixed and search for the one volatility that reproduces it. There is no closed form for that number, so every implied volatility calculator iterates. This workbook shows the iteration on the IV Calculator sheet instead of hiding it, then applies the result across strikes, expirations and a peer group.</t>
        </is>
      </c>
    </row>
    <row r="6"/>
    <row r="7"/>
    <row r="9" ht="20" customHeight="1">
      <c r="A9" s="6" t="inlineStr">
        <is>
          <t>Sheet Guide</t>
        </is>
      </c>
    </row>
    <row r="10" ht="30" customHeight="1">
      <c r="A10" s="13" t="inlineStr">
        <is>
          <t>Sheet</t>
        </is>
      </c>
      <c r="B10" s="13" t="inlineStr">
        <is>
          <t>What it answers</t>
        </is>
      </c>
      <c r="C10" s="13" t="inlineStr">
        <is>
          <t>Where you type</t>
        </is>
      </c>
      <c r="D10" s="13" t="inlineStr">
        <is>
          <t>What to watch</t>
        </is>
      </c>
    </row>
    <row r="11" ht="30" customHeight="1">
      <c r="A11" s="14" t="inlineStr">
        <is>
          <t>IV Calculator</t>
        </is>
      </c>
      <c r="B11" s="14" t="inlineStr">
        <is>
          <t>What volatility does this option price imply?</t>
        </is>
      </c>
      <c r="C11" s="14" t="inlineStr">
        <is>
          <t>Yellow cells B5 to B13</t>
        </is>
      </c>
      <c r="D11" s="14" t="inlineStr">
        <is>
          <t>The solver converges in three steps. Watch the error column reach zero.</t>
        </is>
      </c>
    </row>
    <row r="12" ht="30" customHeight="1">
      <c r="A12" s="15" t="inlineStr">
        <is>
          <t>Volatility Smile</t>
        </is>
      </c>
      <c r="B12" s="15" t="inlineStr">
        <is>
          <t>Is the market charging more for downside or upside strikes?</t>
        </is>
      </c>
      <c r="C12" s="15" t="inlineStr">
        <is>
          <t>Inherits the ticker and expiry</t>
        </is>
      </c>
      <c r="D12" s="15" t="inlineStr">
        <is>
          <t>IV is not flat across strikes. The slope is the skew.</t>
        </is>
      </c>
    </row>
    <row r="13" ht="30" customHeight="1">
      <c r="A13" s="14" t="inlineStr">
        <is>
          <t>Term Structure</t>
        </is>
      </c>
      <c r="B13" s="14" t="inlineStr">
        <is>
          <t>Which expiration carries the event premium?</t>
        </is>
      </c>
      <c r="C13" s="14" t="inlineStr">
        <is>
          <t>Inherits the ticker</t>
        </is>
      </c>
      <c r="D13" s="14" t="inlineStr">
        <is>
          <t>A jump between two adjacent expirations dates the catalyst.</t>
        </is>
      </c>
    </row>
    <row r="14" ht="30" customHeight="1">
      <c r="A14" s="15" t="inlineStr">
        <is>
          <t>IV vs HV</t>
        </is>
      </c>
      <c r="B14" s="15" t="inlineStr">
        <is>
          <t>Is implied volatility rich or cheap against what the stock actually did?</t>
        </is>
      </c>
      <c r="C14" s="15" t="inlineStr">
        <is>
          <t>Ticker column A</t>
        </is>
      </c>
      <c r="D14" s="15" t="inlineStr">
        <is>
          <t>The IV/HV ratio, not the raw IV level, is the comparable number.</t>
        </is>
      </c>
    </row>
    <row r="15" ht="30" customHeight="1">
      <c r="A15" s="14" t="inlineStr">
        <is>
          <t>Vega Scenarios</t>
        </is>
      </c>
      <c r="B15" s="14" t="inlineStr">
        <is>
          <t>What happens to the position if volatility moves and price does not?</t>
        </is>
      </c>
      <c r="C15" s="14" t="inlineStr">
        <is>
          <t>Contract count on IV Calculator</t>
        </is>
      </c>
      <c r="D15" s="14" t="inlineStr">
        <is>
          <t>Vega and delta can pull in opposite directions.</t>
        </is>
      </c>
    </row>
    <row r="16" ht="30" customHeight="1">
      <c r="A16" s="15" t="inlineStr">
        <is>
          <t>Position Sizing</t>
        </is>
      </c>
      <c r="B16" s="15" t="inlineStr">
        <is>
          <t>How many contracts fit the risk budget?</t>
        </is>
      </c>
      <c r="C16" s="15" t="inlineStr">
        <is>
          <t>Yellow account inputs</t>
        </is>
      </c>
      <c r="D16" s="15" t="inlineStr">
        <is>
          <t>Size against the vega exposure, not only the premium paid.</t>
        </is>
      </c>
    </row>
    <row r="18" ht="20" customHeight="1">
      <c r="A18" s="6" t="inlineStr">
        <is>
          <t>The Yellow Input Cells On The IV Calculator Sheet</t>
        </is>
      </c>
    </row>
    <row r="19" ht="30" customHeight="1">
      <c r="A19" s="13" t="inlineStr">
        <is>
          <t>Input</t>
        </is>
      </c>
      <c r="B19" s="13" t="inlineStr">
        <is>
          <t>Cell</t>
        </is>
      </c>
      <c r="C19" s="13" t="inlineStr">
        <is>
          <t>Sample value</t>
        </is>
      </c>
      <c r="D19" s="13" t="inlineStr">
        <is>
          <t>Why it matters</t>
        </is>
      </c>
    </row>
    <row r="20" ht="26" customHeight="1">
      <c r="A20" s="14" t="inlineStr">
        <is>
          <t>Underlying symbol</t>
        </is>
      </c>
      <c r="B20" s="14" t="inlineStr">
        <is>
          <t>B5</t>
        </is>
      </c>
      <c r="C20" s="14" t="inlineStr">
        <is>
          <t>NVDA</t>
        </is>
      </c>
      <c r="D20" s="14" t="inlineStr">
        <is>
          <t>Drives every live formula in the workbook.</t>
        </is>
      </c>
    </row>
    <row r="21" ht="26" customHeight="1">
      <c r="A21" s="15" t="inlineStr">
        <is>
          <t>Underlying price</t>
        </is>
      </c>
      <c r="B21" s="15" t="inlineStr">
        <is>
          <t>B6</t>
        </is>
      </c>
      <c r="C21" s="15" t="inlineStr">
        <is>
          <t>$225.16</t>
        </is>
      </c>
      <c r="D21" s="15" t="inlineStr">
        <is>
          <t>Use the price struck at the same moment as the option quote.</t>
        </is>
      </c>
    </row>
    <row r="22" ht="26" customHeight="1">
      <c r="A22" s="14" t="inlineStr">
        <is>
          <t>Strike</t>
        </is>
      </c>
      <c r="B22" s="14" t="inlineStr">
        <is>
          <t>B7</t>
        </is>
      </c>
      <c r="C22" s="14" t="inlineStr">
        <is>
          <t>$230.00</t>
        </is>
      </c>
      <c r="D22" s="14" t="inlineStr">
        <is>
          <t>Sets moneyness, which sets how much vega you get.</t>
        </is>
      </c>
    </row>
    <row r="23" ht="26" customHeight="1">
      <c r="A23" s="15" t="inlineStr">
        <is>
          <t>Expiration</t>
        </is>
      </c>
      <c r="B23" s="15" t="inlineStr">
        <is>
          <t>B8</t>
        </is>
      </c>
      <c r="C23" s="15" t="inlineStr">
        <is>
          <t>2026-09-18</t>
        </is>
      </c>
      <c r="D23" s="15" t="inlineStr">
        <is>
          <t>Time is the other half of every volatility number.</t>
        </is>
      </c>
    </row>
    <row r="24" ht="26" customHeight="1">
      <c r="A24" s="14" t="inlineStr">
        <is>
          <t>Call or put</t>
        </is>
      </c>
      <c r="B24" s="14" t="inlineStr">
        <is>
          <t>B9</t>
        </is>
      </c>
      <c r="C24" s="14" t="inlineStr">
        <is>
          <t>C</t>
        </is>
      </c>
      <c r="D24" s="14" t="inlineStr">
        <is>
          <t>Enter "C" or "P". Parity means both should solve close.</t>
        </is>
      </c>
    </row>
    <row r="25" ht="26" customHeight="1">
      <c r="A25" s="15" t="inlineStr">
        <is>
          <t>Market option price</t>
        </is>
      </c>
      <c r="B25" s="15" t="inlineStr">
        <is>
          <t>B10</t>
        </is>
      </c>
      <c r="C25" s="15" t="inlineStr">
        <is>
          <t>$8.55</t>
        </is>
      </c>
      <c r="D25" s="15" t="inlineStr">
        <is>
          <t>The mid of bid and ask. The single biggest source of IV disagreement.</t>
        </is>
      </c>
    </row>
    <row r="26" ht="26" customHeight="1">
      <c r="A26" s="14" t="inlineStr">
        <is>
          <t>Risk free rate</t>
        </is>
      </c>
      <c r="B26" s="14" t="inlineStr">
        <is>
          <t>B11</t>
        </is>
      </c>
      <c r="C26" s="14" t="inlineStr">
        <is>
          <t>3.697%</t>
        </is>
      </c>
      <c r="D26" s="14" t="inlineStr">
        <is>
          <t>Match the bill maturity to the option. A wrong rate moves IV by more than a vol point.</t>
        </is>
      </c>
    </row>
    <row r="27" ht="26" customHeight="1">
      <c r="A27" s="15" t="inlineStr">
        <is>
          <t>Dividend yield</t>
        </is>
      </c>
      <c r="B27" s="15" t="inlineStr">
        <is>
          <t>B12</t>
        </is>
      </c>
      <c r="C27" s="15" t="inlineStr">
        <is>
          <t>0.44%</t>
        </is>
      </c>
      <c r="D27" s="15" t="inlineStr">
        <is>
          <t>Small for most names, large for high payers and index proxies.</t>
        </is>
      </c>
    </row>
    <row r="28" ht="26" customHeight="1">
      <c r="A28" s="14" t="inlineStr">
        <is>
          <t>Contracts</t>
        </is>
      </c>
      <c r="B28" s="14" t="inlineStr">
        <is>
          <t>B13</t>
        </is>
      </c>
      <c r="C28" s="14" t="inlineStr">
        <is>
          <t>5</t>
        </is>
      </c>
      <c r="D28" s="14" t="inlineStr">
        <is>
          <t>Scales every dollar figure in the scenario sheets.</t>
        </is>
      </c>
    </row>
    <row r="30" ht="20" customHeight="1">
      <c r="A30" s="6" t="inlineStr">
        <is>
          <t>Two Ways This Workbook Solves For Volatility</t>
        </is>
      </c>
    </row>
    <row r="31">
      <c r="A31" s="5" t="inlineStr">
        <is>
          <t>The first way is the transparent one: a Newton-Raphson ladder built from plain Excel functions (LN, EXP, SQRT, NORMSDIST, NORMDIST). You can audit every step. The second way is one MarketXLS call, opt_ImpliedVolatility, which does the same search inside the add-in and returns the answer in a single cell. The two sit side by side on the IV Calculator sheet so you can confirm they agree.</t>
        </is>
      </c>
    </row>
    <row r="32"/>
    <row r="33"/>
    <row r="35" ht="20" customHeight="1">
      <c r="A35" s="16" t="inlineStr">
        <is>
          <t>Getting The MarketXLS Formulas To Return Data</t>
        </is>
      </c>
    </row>
    <row r="36">
      <c r="A36" s="5" t="inlineStr">
        <is>
          <t>1. Install the MarketXLS add-in and sign in inside Excel.</t>
        </is>
      </c>
    </row>
    <row r="37">
      <c r="A37" s="5" t="inlineStr">
        <is>
          <t>2. Open this workbook and allow the add-in to load.</t>
        </is>
      </c>
    </row>
    <row r="38">
      <c r="A38" s="5" t="inlineStr">
        <is>
          <t>3. Press Ctrl+Alt+F9 to force a full recalculation.</t>
        </is>
      </c>
    </row>
    <row r="39">
      <c r="A39" s="5" t="inlineStr">
        <is>
          <t>4. If option contract formulas return an error, refresh the market data session from the add-in ribbon.</t>
        </is>
      </c>
    </row>
    <row r="40">
      <c r="A40" s="5" t="inlineStr">
        <is>
          <t>5. Option contract symbols carry two spaces after the ticker. Build them with OptionSymbol rather than by hand.</t>
        </is>
      </c>
    </row>
    <row r="42">
      <c r="A42" s="17" t="inlineStr">
        <is>
          <t>MarketXLS Functions Used in This Sheet</t>
        </is>
      </c>
    </row>
    <row r="43">
      <c r="A43" s="18">
        <f>OptionSymbol(sym,expiry,type,strike)</f>
        <v/>
      </c>
      <c r="B43" s="8" t="inlineStr">
        <is>
          <t>Builds the contract symbol every option formula needs</t>
        </is>
      </c>
    </row>
    <row r="44">
      <c r="A44" s="18">
        <f>opt_ImpliedVolatility(...)</f>
        <v/>
      </c>
      <c r="B44" s="8" t="inlineStr">
        <is>
          <t>Solves implied volatility from a market option price</t>
        </is>
      </c>
    </row>
    <row r="45">
      <c r="A45" s="18">
        <f>ImpliedVolatility30d(sym)</f>
        <v/>
      </c>
      <c r="B45" s="8" t="inlineStr">
        <is>
          <t>Thirty day implied volatility for the underlying, as a decimal</t>
        </is>
      </c>
    </row>
    <row r="46">
      <c r="A46" s="18">
        <f>StockVolatilityThirtyDays(sym)</f>
        <v/>
      </c>
      <c r="B46" s="8" t="inlineStr">
        <is>
          <t>Thirty day realised volatility for the underlying</t>
        </is>
      </c>
    </row>
    <row r="48">
      <c r="A48" s="10" t="inlineStr">
        <is>
          <t>Powered by MarketXLS   |   https://marketxls.com   |   Book a demo: https://marketxls.com/book-demo</t>
        </is>
      </c>
    </row>
  </sheetData>
  <mergeCells count="20">
    <mergeCell ref="A9:H9"/>
    <mergeCell ref="A48:H48"/>
    <mergeCell ref="A30:H30"/>
    <mergeCell ref="A39:H39"/>
    <mergeCell ref="A31:H33"/>
    <mergeCell ref="A36:H36"/>
    <mergeCell ref="A1:H1"/>
    <mergeCell ref="B45:H45"/>
    <mergeCell ref="A37:H37"/>
    <mergeCell ref="B46:H46"/>
    <mergeCell ref="A18:H18"/>
    <mergeCell ref="A2:H2"/>
    <mergeCell ref="B43:H43"/>
    <mergeCell ref="A42:H42"/>
    <mergeCell ref="A4:H4"/>
    <mergeCell ref="A35:H35"/>
    <mergeCell ref="A38:H38"/>
    <mergeCell ref="B44:H44"/>
    <mergeCell ref="A5:H7"/>
    <mergeCell ref="A40:H40"/>
  </mergeCells>
  <pageMargins left="0.75" right="0.75" top="1" bottom="1" header="0.5" footer="0.5"/>
</worksheet>
</file>

<file path=xl/worksheets/sheet3.xml><?xml version="1.0" encoding="utf-8"?>
<worksheet xmlns="http://schemas.openxmlformats.org/spreadsheetml/2006/main">
  <sheetPr>
    <tabColor rgb="00003366"/>
    <outlinePr summaryBelow="1" summaryRight="1"/>
    <pageSetUpPr/>
  </sheetPr>
  <dimension ref="A1:H80"/>
  <sheetViews>
    <sheetView showGridLines="0" workbookViewId="0">
      <pane ySplit="3" topLeftCell="A4" activePane="bottomLeft" state="frozen"/>
      <selection pane="bottomLeft" activeCell="A1" sqref="A1"/>
    </sheetView>
  </sheetViews>
  <sheetFormatPr baseColWidth="8" defaultRowHeight="15"/>
  <cols>
    <col width="26" customWidth="1" min="1" max="1"/>
    <col width="16" customWidth="1" min="2" max="2"/>
    <col width="14" customWidth="1" min="3" max="3"/>
    <col width="14" customWidth="1" min="4" max="4"/>
    <col width="14" customWidth="1" min="5" max="5"/>
    <col width="14" customWidth="1" min="6" max="6"/>
    <col width="16" customWidth="1" min="7" max="7"/>
    <col width="30" customWidth="1" min="8" max="8"/>
  </cols>
  <sheetData>
    <row r="1" ht="30" customHeight="1">
      <c r="A1" s="11" t="inlineStr">
        <is>
          <t>Implied Volatility Calculator</t>
        </is>
      </c>
    </row>
    <row r="2" ht="18" customHeight="1">
      <c r="A2" s="12" t="inlineStr">
        <is>
          <t>NVDA 18 Sep 2026 $230 call   |   data as of 2026-08-15</t>
        </is>
      </c>
    </row>
    <row r="4" ht="20" customHeight="1">
      <c r="A4" s="6" t="inlineStr">
        <is>
          <t>Step 1  -  Contract Inputs (type in the yellow cells)</t>
        </is>
      </c>
    </row>
    <row r="5">
      <c r="A5" s="19" t="inlineStr">
        <is>
          <t>Underlying symbol</t>
        </is>
      </c>
      <c r="B5" s="20" t="inlineStr">
        <is>
          <t>NVDA</t>
        </is>
      </c>
      <c r="H5" s="21" t="inlineStr">
        <is>
          <t>Ticker of the underlying</t>
        </is>
      </c>
    </row>
    <row r="6">
      <c r="A6" s="19" t="inlineStr">
        <is>
          <t>Underlying price</t>
        </is>
      </c>
      <c r="B6" s="22" t="n">
        <v>225.1600036621094</v>
      </c>
      <c r="C6" s="23">
        <f>QM_Last($B$5)</f>
        <v/>
      </c>
      <c r="H6" s="21" t="inlineStr">
        <is>
          <t>Spot price at the moment of the option quote</t>
        </is>
      </c>
    </row>
    <row r="7">
      <c r="A7" s="19" t="inlineStr">
        <is>
          <t>Strike</t>
        </is>
      </c>
      <c r="B7" s="22" t="n">
        <v>230</v>
      </c>
      <c r="H7" s="21" t="inlineStr">
        <is>
          <t>Contract strike</t>
        </is>
      </c>
    </row>
    <row r="8">
      <c r="A8" s="19" t="inlineStr">
        <is>
          <t>Expiration date</t>
        </is>
      </c>
      <c r="B8" s="24" t="n">
        <v>46283</v>
      </c>
      <c r="H8" s="21" t="inlineStr">
        <is>
          <t>Contract expiration</t>
        </is>
      </c>
    </row>
    <row r="9">
      <c r="A9" s="19" t="inlineStr">
        <is>
          <t>Call (C) or put (P)</t>
        </is>
      </c>
      <c r="B9" s="20" t="inlineStr">
        <is>
          <t>C</t>
        </is>
      </c>
      <c r="H9" s="21" t="inlineStr">
        <is>
          <t>Type "C" or "P"</t>
        </is>
      </c>
    </row>
    <row r="10">
      <c r="A10" s="19" t="inlineStr">
        <is>
          <t>Market option price</t>
        </is>
      </c>
      <c r="B10" s="22" t="n">
        <v>8.550000000000001</v>
      </c>
      <c r="H10" s="21" t="inlineStr">
        <is>
          <t>Mid of bid and ask</t>
        </is>
      </c>
    </row>
    <row r="11">
      <c r="A11" s="19" t="inlineStr">
        <is>
          <t>Risk free rate</t>
        </is>
      </c>
      <c r="B11" s="25" t="n">
        <v>0.03697000026702881</v>
      </c>
      <c r="H11" s="21" t="inlineStr">
        <is>
          <t>Yield of the bill closest to expiry</t>
        </is>
      </c>
    </row>
    <row r="12">
      <c r="A12" s="19" t="inlineStr">
        <is>
          <t>Dividend yield</t>
        </is>
      </c>
      <c r="B12" s="25" t="n">
        <v>0.0044</v>
      </c>
      <c r="C12" s="23">
        <f>DividendYield($B$5)</f>
        <v/>
      </c>
      <c r="H12" s="21" t="inlineStr">
        <is>
          <t>Continuous dividend yield of the underlying</t>
        </is>
      </c>
    </row>
    <row r="13">
      <c r="A13" s="19" t="inlineStr">
        <is>
          <t>Contracts</t>
        </is>
      </c>
      <c r="B13" s="26" t="n">
        <v>5</v>
      </c>
      <c r="H13" s="21" t="inlineStr">
        <is>
          <t>Each contract covers 100 shares</t>
        </is>
      </c>
    </row>
    <row r="14">
      <c r="A14" s="21" t="inlineStr">
        <is>
          <t>Column C shows the MarketXLS formula that fetches the same input live. Paste it over the yellow cell to hand that input to the add-in, or keep typing your own number.</t>
        </is>
      </c>
    </row>
    <row r="16" ht="20" customHeight="1">
      <c r="A16" s="6" t="inlineStr">
        <is>
          <t>Step 2  -  Derived Terms</t>
        </is>
      </c>
    </row>
    <row r="17">
      <c r="A17" s="19" t="inlineStr">
        <is>
          <t>Days to expiration</t>
        </is>
      </c>
      <c r="B17" s="27">
        <f>$B$8-TODAY()</f>
        <v/>
      </c>
      <c r="D17" s="19" t="inlineStr">
        <is>
          <t>Time in years (T)</t>
        </is>
      </c>
      <c r="E17" s="28">
        <f>($B$8-TODAY())/365</f>
        <v/>
      </c>
    </row>
    <row r="18">
      <c r="A18" s="19" t="inlineStr">
        <is>
          <t>Option contract symbol</t>
        </is>
      </c>
      <c r="B18" s="29">
        <f>OptionSymbol($B$5,TEXT($B$8,"yyyy-mm-dd"),$B$9,$B$7)</f>
        <v/>
      </c>
      <c r="F18" s="19" t="inlineStr">
        <is>
          <t>Open interest</t>
        </is>
      </c>
      <c r="G18" s="27">
        <f>QM_OpenInterest(OptionSymbol($B$5,TEXT($B$8,"yyyy-mm-dd"),$B$9,$B$7))</f>
        <v/>
      </c>
    </row>
    <row r="20" ht="20" customHeight="1">
      <c r="A20" s="6" t="inlineStr">
        <is>
          <t>Step 3  -  Newton-Raphson Solver (the volatility that reproduces the market price)</t>
        </is>
      </c>
    </row>
    <row r="21" ht="30" customHeight="1">
      <c r="A21" s="13" t="inlineStr">
        <is>
          <t>Iteration</t>
        </is>
      </c>
      <c r="B21" s="13" t="inlineStr">
        <is>
          <t>Volatility guess</t>
        </is>
      </c>
      <c r="C21" s="13" t="inlineStr">
        <is>
          <t>Black-Scholes price</t>
        </is>
      </c>
      <c r="D21" s="13" t="inlineStr">
        <is>
          <t>Market price</t>
        </is>
      </c>
      <c r="E21" s="13" t="inlineStr">
        <is>
          <t>Pricing error</t>
        </is>
      </c>
      <c r="F21" s="13" t="inlineStr">
        <is>
          <t>Vega (per 1.00 vol)</t>
        </is>
      </c>
      <c r="G21" s="13" t="inlineStr">
        <is>
          <t>Next guess</t>
        </is>
      </c>
      <c r="H21" s="13" t="inlineStr">
        <is>
          <t>How the next guess is formed</t>
        </is>
      </c>
    </row>
    <row r="22">
      <c r="A22" s="30" t="n">
        <v>1</v>
      </c>
      <c r="B22" s="25" t="n">
        <v>0.3</v>
      </c>
      <c r="C22" s="31">
        <f>IF($B$9="C",$B$6*EXP(-$B$12*$E$15)*NORMSDIST(((LN($B$6/$B$7)+($B$11-$B$12+0.5*B22^2)*$E$15)/(B22*SQRT($E$15))))-$B$7*EXP(-$B$11*$E$15)*NORMSDIST((((LN($B$6/$B$7)+($B$11-$B$12+0.5*B22^2)*$E$15)/(B22*SQRT($E$15)))-B22*SQRT($E$15))),$B$7*EXP(-$B$11*$E$15)*NORMSDIST(-(((LN($B$6/$B$7)+($B$11-$B$12+0.5*B22^2)*$E$15)/(B22*SQRT($E$15)))-B22*SQRT($E$15)))-$B$6*EXP(-$B$12*$E$15)*NORMSDIST(-((LN($B$6/$B$7)+($B$11-$B$12+0.5*B22^2)*$E$15)/(B22*SQRT($E$15)))))</f>
        <v/>
      </c>
      <c r="D22" s="32">
        <f>$B$10</f>
        <v/>
      </c>
      <c r="E22" s="33">
        <f>C22-D22</f>
        <v/>
      </c>
      <c r="F22" s="34">
        <f>$B$6*EXP(-$B$12*$E$15)*NORMDIST(((LN($B$6/$B$7)+($B$11-$B$12+0.5*B22^2)*$E$15)/(B22*SQRT($E$15))),0,1,FALSE)*SQRT($E$15)</f>
        <v/>
      </c>
      <c r="G22" s="35">
        <f>MAX(0.000001,B22-MEDIAN(-0.5,E22/F22,0.5))</f>
        <v/>
      </c>
      <c r="H22" s="36" t="inlineStr">
        <is>
          <t>Seed guess. Any sensible starting volatility converges.</t>
        </is>
      </c>
    </row>
    <row r="23">
      <c r="A23" s="37" t="n">
        <v>2</v>
      </c>
      <c r="B23" s="38">
        <f>G22</f>
        <v/>
      </c>
      <c r="C23" s="39">
        <f>IF($B$9="C",$B$6*EXP(-$B$12*$E$15)*NORMSDIST(((LN($B$6/$B$7)+($B$11-$B$12+0.5*B23^2)*$E$15)/(B23*SQRT($E$15))))-$B$7*EXP(-$B$11*$E$15)*NORMSDIST((((LN($B$6/$B$7)+($B$11-$B$12+0.5*B23^2)*$E$15)/(B23*SQRT($E$15)))-B23*SQRT($E$15))),$B$7*EXP(-$B$11*$E$15)*NORMSDIST(-(((LN($B$6/$B$7)+($B$11-$B$12+0.5*B23^2)*$E$15)/(B23*SQRT($E$15)))-B23*SQRT($E$15)))-$B$6*EXP(-$B$12*$E$15)*NORMSDIST(-((LN($B$6/$B$7)+($B$11-$B$12+0.5*B23^2)*$E$15)/(B23*SQRT($E$15)))))</f>
        <v/>
      </c>
      <c r="D23" s="40">
        <f>$B$10</f>
        <v/>
      </c>
      <c r="E23" s="41">
        <f>C23-D23</f>
        <v/>
      </c>
      <c r="F23" s="42">
        <f>$B$6*EXP(-$B$12*$E$15)*NORMDIST(((LN($B$6/$B$7)+($B$11-$B$12+0.5*B23^2)*$E$15)/(B23*SQRT($E$15))),0,1,FALSE)*SQRT($E$15)</f>
        <v/>
      </c>
      <c r="G23" s="43">
        <f>MAX(0.000001,B23-MEDIAN(-0.5,E23/F23,0.5))</f>
        <v/>
      </c>
      <c r="H23" s="44" t="inlineStr">
        <is>
          <t>Previous guess minus error divided by vega.</t>
        </is>
      </c>
    </row>
    <row r="24">
      <c r="A24" s="30" t="n">
        <v>3</v>
      </c>
      <c r="B24" s="45">
        <f>G23</f>
        <v/>
      </c>
      <c r="C24" s="31">
        <f>IF($B$9="C",$B$6*EXP(-$B$12*$E$15)*NORMSDIST(((LN($B$6/$B$7)+($B$11-$B$12+0.5*B24^2)*$E$15)/(B24*SQRT($E$15))))-$B$7*EXP(-$B$11*$E$15)*NORMSDIST((((LN($B$6/$B$7)+($B$11-$B$12+0.5*B24^2)*$E$15)/(B24*SQRT($E$15)))-B24*SQRT($E$15))),$B$7*EXP(-$B$11*$E$15)*NORMSDIST(-(((LN($B$6/$B$7)+($B$11-$B$12+0.5*B24^2)*$E$15)/(B24*SQRT($E$15)))-B24*SQRT($E$15)))-$B$6*EXP(-$B$12*$E$15)*NORMSDIST(-((LN($B$6/$B$7)+($B$11-$B$12+0.5*B24^2)*$E$15)/(B24*SQRT($E$15)))))</f>
        <v/>
      </c>
      <c r="D24" s="32">
        <f>$B$10</f>
        <v/>
      </c>
      <c r="E24" s="33">
        <f>C24-D24</f>
        <v/>
      </c>
      <c r="F24" s="34">
        <f>$B$6*EXP(-$B$12*$E$15)*NORMDIST(((LN($B$6/$B$7)+($B$11-$B$12+0.5*B24^2)*$E$15)/(B24*SQRT($E$15))),0,1,FALSE)*SQRT($E$15)</f>
        <v/>
      </c>
      <c r="G24" s="35">
        <f>MAX(0.000001,B24-MEDIAN(-0.5,E24/F24,0.5))</f>
        <v/>
      </c>
      <c r="H24" s="36" t="inlineStr">
        <is>
          <t>Previous guess minus error divided by vega.</t>
        </is>
      </c>
    </row>
    <row r="25">
      <c r="A25" s="37" t="n">
        <v>4</v>
      </c>
      <c r="B25" s="38">
        <f>G24</f>
        <v/>
      </c>
      <c r="C25" s="39">
        <f>IF($B$9="C",$B$6*EXP(-$B$12*$E$15)*NORMSDIST(((LN($B$6/$B$7)+($B$11-$B$12+0.5*B25^2)*$E$15)/(B25*SQRT($E$15))))-$B$7*EXP(-$B$11*$E$15)*NORMSDIST((((LN($B$6/$B$7)+($B$11-$B$12+0.5*B25^2)*$E$15)/(B25*SQRT($E$15)))-B25*SQRT($E$15))),$B$7*EXP(-$B$11*$E$15)*NORMSDIST(-(((LN($B$6/$B$7)+($B$11-$B$12+0.5*B25^2)*$E$15)/(B25*SQRT($E$15)))-B25*SQRT($E$15)))-$B$6*EXP(-$B$12*$E$15)*NORMSDIST(-((LN($B$6/$B$7)+($B$11-$B$12+0.5*B25^2)*$E$15)/(B25*SQRT($E$15)))))</f>
        <v/>
      </c>
      <c r="D25" s="40">
        <f>$B$10</f>
        <v/>
      </c>
      <c r="E25" s="41">
        <f>C25-D25</f>
        <v/>
      </c>
      <c r="F25" s="42">
        <f>$B$6*EXP(-$B$12*$E$15)*NORMDIST(((LN($B$6/$B$7)+($B$11-$B$12+0.5*B25^2)*$E$15)/(B25*SQRT($E$15))),0,1,FALSE)*SQRT($E$15)</f>
        <v/>
      </c>
      <c r="G25" s="43">
        <f>MAX(0.000001,B25-MEDIAN(-0.5,E25/F25,0.5))</f>
        <v/>
      </c>
      <c r="H25" s="44" t="inlineStr">
        <is>
          <t>Previous guess minus error divided by vega.</t>
        </is>
      </c>
    </row>
    <row r="26">
      <c r="A26" s="30" t="n">
        <v>5</v>
      </c>
      <c r="B26" s="45">
        <f>G25</f>
        <v/>
      </c>
      <c r="C26" s="31">
        <f>IF($B$9="C",$B$6*EXP(-$B$12*$E$15)*NORMSDIST(((LN($B$6/$B$7)+($B$11-$B$12+0.5*B26^2)*$E$15)/(B26*SQRT($E$15))))-$B$7*EXP(-$B$11*$E$15)*NORMSDIST((((LN($B$6/$B$7)+($B$11-$B$12+0.5*B26^2)*$E$15)/(B26*SQRT($E$15)))-B26*SQRT($E$15))),$B$7*EXP(-$B$11*$E$15)*NORMSDIST(-(((LN($B$6/$B$7)+($B$11-$B$12+0.5*B26^2)*$E$15)/(B26*SQRT($E$15)))-B26*SQRT($E$15)))-$B$6*EXP(-$B$12*$E$15)*NORMSDIST(-((LN($B$6/$B$7)+($B$11-$B$12+0.5*B26^2)*$E$15)/(B26*SQRT($E$15)))))</f>
        <v/>
      </c>
      <c r="D26" s="32">
        <f>$B$10</f>
        <v/>
      </c>
      <c r="E26" s="33">
        <f>C26-D26</f>
        <v/>
      </c>
      <c r="F26" s="34">
        <f>$B$6*EXP(-$B$12*$E$15)*NORMDIST(((LN($B$6/$B$7)+($B$11-$B$12+0.5*B26^2)*$E$15)/(B26*SQRT($E$15))),0,1,FALSE)*SQRT($E$15)</f>
        <v/>
      </c>
      <c r="G26" s="35">
        <f>MAX(0.000001,B26-MEDIAN(-0.5,E26/F26,0.5))</f>
        <v/>
      </c>
      <c r="H26" s="36" t="inlineStr">
        <is>
          <t>Previous guess minus error divided by vega.</t>
        </is>
      </c>
    </row>
    <row r="28" ht="20" customHeight="1">
      <c r="A28" s="16" t="inlineStr">
        <is>
          <t>Step 4  -  The Answer</t>
        </is>
      </c>
    </row>
    <row r="29">
      <c r="A29" s="19" t="inlineStr">
        <is>
          <t>Solved implied volatility</t>
        </is>
      </c>
      <c r="B29" s="46">
        <f>G26</f>
        <v/>
      </c>
      <c r="D29" s="19" t="inlineStr">
        <is>
          <t>MarketXLS one-cell answer</t>
        </is>
      </c>
      <c r="E29" s="47">
        <f>opt_ImpliedVolatility($B$6,$B$10,TEXT($B$8,"yyyy-mm-dd"),$B$9,$B$7,$B$11,$B$12)</f>
        <v/>
      </c>
      <c r="H29" s="21" t="inlineStr">
        <is>
          <t>The ladder and the add-in should agree to well inside a tenth of a vol point.</t>
        </is>
      </c>
    </row>
    <row r="31" ht="20" customHeight="1">
      <c r="A31" s="6" t="inlineStr">
        <is>
          <t>Step 5  -  How Much Each Input Moves The Answer</t>
        </is>
      </c>
    </row>
    <row r="32" ht="30" customHeight="1">
      <c r="A32" s="13" t="inlineStr">
        <is>
          <t>Input choice</t>
        </is>
      </c>
      <c r="B32" s="13" t="inlineStr">
        <is>
          <t>Option price used</t>
        </is>
      </c>
      <c r="C32" s="13" t="inlineStr">
        <is>
          <t>Solved IV</t>
        </is>
      </c>
      <c r="D32" s="13" t="inlineStr">
        <is>
          <t>Difference vs mid</t>
        </is>
      </c>
      <c r="E32" s="13" t="inlineStr"/>
      <c r="F32" s="13" t="inlineStr"/>
      <c r="G32" s="13" t="inlineStr"/>
      <c r="H32" s="13" t="inlineStr">
        <is>
          <t>Comment</t>
        </is>
      </c>
    </row>
    <row r="33">
      <c r="A33" s="14" t="inlineStr">
        <is>
          <t>Bid price</t>
        </is>
      </c>
      <c r="B33" s="48" t="n">
        <v>8.5</v>
      </c>
      <c r="C33" s="49" t="n">
        <v>0.3777217889165181</v>
      </c>
      <c r="D33" s="50" t="n">
        <v>-0.001833687585013899</v>
      </c>
      <c r="E33" s="51" t="inlineStr"/>
      <c r="F33" s="51" t="inlineStr"/>
      <c r="G33" s="51" t="inlineStr"/>
      <c r="H33" s="36" t="inlineStr">
        <is>
          <t>The volatility a seller is offering.</t>
        </is>
      </c>
    </row>
    <row r="34">
      <c r="A34" s="52" t="inlineStr">
        <is>
          <t>Mid price (base case)</t>
        </is>
      </c>
      <c r="B34" s="53" t="n">
        <v>8.550000000000001</v>
      </c>
      <c r="C34" s="54" t="n">
        <v>0.379555476501532</v>
      </c>
      <c r="D34" s="55" t="n">
        <v>0</v>
      </c>
      <c r="E34" s="56" t="inlineStr"/>
      <c r="F34" s="56" t="inlineStr"/>
      <c r="G34" s="56" t="inlineStr"/>
      <c r="H34" s="44" t="inlineStr">
        <is>
          <t>The usual convention, and the base case here.</t>
        </is>
      </c>
    </row>
    <row r="35">
      <c r="A35" s="14" t="inlineStr">
        <is>
          <t>Ask price</t>
        </is>
      </c>
      <c r="B35" s="48" t="n">
        <v>8.6</v>
      </c>
      <c r="C35" s="49" t="n">
        <v>0.3813889743345027</v>
      </c>
      <c r="D35" s="50" t="n">
        <v>0.001833497832970654</v>
      </c>
      <c r="E35" s="51" t="inlineStr"/>
      <c r="F35" s="51" t="inlineStr"/>
      <c r="G35" s="51" t="inlineStr"/>
      <c r="H35" s="36" t="inlineStr">
        <is>
          <t>The volatility a buyer is paying.</t>
        </is>
      </c>
    </row>
    <row r="36">
      <c r="A36" s="15" t="inlineStr">
        <is>
          <t>Last traded price</t>
        </is>
      </c>
      <c r="B36" s="53" t="n">
        <v>8.539999999999999</v>
      </c>
      <c r="C36" s="57" t="n">
        <v>0.379188754272428</v>
      </c>
      <c r="D36" s="55" t="n">
        <v>-0.0003667222291040551</v>
      </c>
      <c r="E36" s="56" t="inlineStr"/>
      <c r="F36" s="56" t="inlineStr"/>
      <c r="G36" s="56" t="inlineStr"/>
      <c r="H36" s="44" t="inlineStr">
        <is>
          <t>Can be stale. Beware of a print from hours ago.</t>
        </is>
      </c>
    </row>
    <row r="37">
      <c r="A37" s="14" t="inlineStr">
        <is>
          <t>Mid, but rate set to zero</t>
        </is>
      </c>
      <c r="B37" s="48" t="n">
        <v>8.550000000000001</v>
      </c>
      <c r="C37" s="49" t="n">
        <v>0.3914490017624118</v>
      </c>
      <c r="D37" s="50" t="n">
        <v>0.01189352526087972</v>
      </c>
      <c r="E37" s="51" t="inlineStr"/>
      <c r="F37" s="51" t="inlineStr"/>
      <c r="G37" s="51" t="inlineStr"/>
      <c r="H37" s="36" t="inlineStr">
        <is>
          <t>Ignoring the rate is not harmless.</t>
        </is>
      </c>
    </row>
    <row r="38">
      <c r="A38" s="15" t="inlineStr">
        <is>
          <t>Mid, but dividend set to zero</t>
        </is>
      </c>
      <c r="B38" s="53" t="n">
        <v>8.550000000000001</v>
      </c>
      <c r="C38" s="57" t="n">
        <v>0.3779964988278476</v>
      </c>
      <c r="D38" s="55" t="n">
        <v>-0.001558977673684403</v>
      </c>
      <c r="E38" s="56" t="inlineStr"/>
      <c r="F38" s="56" t="inlineStr"/>
      <c r="G38" s="56" t="inlineStr"/>
      <c r="H38" s="44" t="inlineStr">
        <is>
          <t>Small here, large for a high payer.</t>
        </is>
      </c>
    </row>
    <row r="40" ht="20" customHeight="1">
      <c r="A40" s="6" t="inlineStr">
        <is>
          <t>Step 6  -  Greeks At The Solved Volatility</t>
        </is>
      </c>
    </row>
    <row r="41" ht="30" customHeight="1">
      <c r="A41" s="13" t="inlineStr">
        <is>
          <t>Greek</t>
        </is>
      </c>
      <c r="B41" s="13" t="inlineStr">
        <is>
          <t>Per share</t>
        </is>
      </c>
      <c r="C41" s="13" t="inlineStr">
        <is>
          <t>Per contract</t>
        </is>
      </c>
      <c r="D41" s="13" t="inlineStr">
        <is>
          <t>Position (5 contracts)</t>
        </is>
      </c>
      <c r="E41" s="13" t="inlineStr"/>
      <c r="F41" s="13" t="inlineStr"/>
      <c r="G41" s="13" t="inlineStr"/>
      <c r="H41" s="13" t="inlineStr">
        <is>
          <t>Reads as</t>
        </is>
      </c>
    </row>
    <row r="42">
      <c r="A42" s="58" t="inlineStr">
        <is>
          <t>Delta</t>
        </is>
      </c>
      <c r="B42" s="34">
        <f>opt_Delta($B$6,$B$10,TEXT($B$8,"yyyy-mm-dd"),$B$9,$B$7,$B$11,$B$12)</f>
        <v/>
      </c>
      <c r="C42" s="59" t="n">
        <v>46.01887692037646</v>
      </c>
      <c r="D42" s="59" t="n">
        <v>230.0943846018823</v>
      </c>
      <c r="E42" s="51" t="inlineStr"/>
      <c r="F42" s="51" t="inlineStr"/>
      <c r="G42" s="51" t="inlineStr"/>
      <c r="H42" s="36" t="inlineStr">
        <is>
          <t>Shares of exposure per share of contract.</t>
        </is>
      </c>
    </row>
    <row r="43">
      <c r="A43" s="52" t="inlineStr">
        <is>
          <t>Gamma</t>
        </is>
      </c>
      <c r="B43" s="34">
        <f>opt_Gamma($B$6,$B$10,TEXT($B$8,"yyyy-mm-dd"),$B$9,$B$7,$B$11,$B$12)</f>
        <v/>
      </c>
      <c r="C43" s="60" t="n">
        <v>1.521330089181254</v>
      </c>
      <c r="D43" s="60" t="n">
        <v>7.606650445906268</v>
      </c>
      <c r="E43" s="56" t="inlineStr"/>
      <c r="F43" s="56" t="inlineStr"/>
      <c r="G43" s="56" t="inlineStr"/>
      <c r="H43" s="44" t="inlineStr">
        <is>
          <t>How fast delta changes for a $1 move.</t>
        </is>
      </c>
    </row>
    <row r="44">
      <c r="A44" s="58" t="inlineStr">
        <is>
          <t>Vega (per 1 vol point)</t>
        </is>
      </c>
      <c r="B44" s="34">
        <f>opt_Vega($B$6,$B$10,TEXT($B$8,"yyyy-mm-dd"),$B$9,$B$7,$B$11,$B$12)</f>
        <v/>
      </c>
      <c r="C44" s="59" t="n">
        <v>27.26887767464253</v>
      </c>
      <c r="D44" s="59" t="n">
        <v>136.3443883732127</v>
      </c>
      <c r="E44" s="51" t="inlineStr"/>
      <c r="F44" s="51" t="inlineStr"/>
      <c r="G44" s="51" t="inlineStr"/>
      <c r="H44" s="36" t="inlineStr">
        <is>
          <t>Dollars gained per one point rise in IV.</t>
        </is>
      </c>
    </row>
    <row r="45">
      <c r="A45" s="52" t="inlineStr">
        <is>
          <t>Theta (per day)</t>
        </is>
      </c>
      <c r="B45" s="34">
        <f>opt_Theta($B$6,$B$10,TEXT($B$8,"yyyy-mm-dd"),$B$9,$B$7,$B$11,$B$12)</f>
        <v/>
      </c>
      <c r="C45" s="60" t="n">
        <v>-16.05865985918148</v>
      </c>
      <c r="D45" s="60" t="n">
        <v>-80.29329929590742</v>
      </c>
      <c r="E45" s="56" t="inlineStr"/>
      <c r="F45" s="56" t="inlineStr"/>
      <c r="G45" s="56" t="inlineStr"/>
      <c r="H45" s="44" t="inlineStr">
        <is>
          <t>Dollars of time value lost each calendar day.</t>
        </is>
      </c>
    </row>
    <row r="46">
      <c r="A46" s="58" t="inlineStr">
        <is>
          <t>Rho (per 1% rate)</t>
        </is>
      </c>
      <c r="B46" s="34">
        <f>opt_Rho($B$6,$B$10,TEXT($B$8,"yyyy-mm-dd"),$B$9,$B$7,$B$11,$B$12)</f>
        <v/>
      </c>
      <c r="C46" s="59" t="n">
        <v>8.855472790718252</v>
      </c>
      <c r="D46" s="59" t="n">
        <v>44.27736395359126</v>
      </c>
      <c r="E46" s="51" t="inlineStr"/>
      <c r="F46" s="51" t="inlineStr"/>
      <c r="G46" s="51" t="inlineStr"/>
      <c r="H46" s="36" t="inlineStr">
        <is>
          <t>Sensitivity to the rate input.</t>
        </is>
      </c>
    </row>
    <row r="48" ht="20" customHeight="1">
      <c r="A48" s="6" t="inlineStr">
        <is>
          <t>Step 7  -  Is That Volatility High Or Low?</t>
        </is>
      </c>
    </row>
    <row r="49" ht="30" customHeight="1">
      <c r="A49" s="13" t="inlineStr">
        <is>
          <t>Reference</t>
        </is>
      </c>
      <c r="B49" s="13" t="inlineStr">
        <is>
          <t>Value</t>
        </is>
      </c>
      <c r="C49" s="13" t="inlineStr"/>
      <c r="D49" s="13" t="inlineStr">
        <is>
          <t>Reference</t>
        </is>
      </c>
      <c r="E49" s="13" t="inlineStr">
        <is>
          <t>Value</t>
        </is>
      </c>
      <c r="F49" s="13" t="inlineStr"/>
      <c r="G49" s="13" t="inlineStr"/>
      <c r="H49" s="13" t="inlineStr">
        <is>
          <t>What it tells you</t>
        </is>
      </c>
    </row>
    <row r="50">
      <c r="A50" s="58" t="inlineStr">
        <is>
          <t>Solved IV on this contract</t>
        </is>
      </c>
      <c r="B50" s="49" t="n">
        <v>0.379555476501532</v>
      </c>
      <c r="C50" s="51" t="inlineStr"/>
      <c r="D50" s="58" t="inlineStr">
        <is>
          <t>30 day realised volatility</t>
        </is>
      </c>
      <c r="E50" s="49" t="n">
        <v>0.3934007252670718</v>
      </c>
      <c r="F50" s="51" t="inlineStr"/>
      <c r="G50" s="51" t="inlineStr"/>
      <c r="H50" s="36" t="inlineStr">
        <is>
          <t>Implied against what the stock actually did over the last month.</t>
        </is>
      </c>
    </row>
    <row r="51">
      <c r="A51" s="52" t="inlineStr">
        <is>
          <t>1 year realised volatility</t>
        </is>
      </c>
      <c r="B51" s="57" t="n">
        <v>0.3671015381143902</v>
      </c>
      <c r="C51" s="56" t="inlineStr"/>
      <c r="D51" s="52" t="inlineStr">
        <is>
          <t>60 day realised volatility</t>
        </is>
      </c>
      <c r="E51" s="57" t="n">
        <v>0.4027635641535515</v>
      </c>
      <c r="F51" s="56" t="inlineStr"/>
      <c r="G51" s="56" t="inlineStr"/>
      <c r="H51" s="44" t="inlineStr">
        <is>
          <t>Two longer lookbacks, for context on the 30 day figure.</t>
        </is>
      </c>
    </row>
    <row r="52">
      <c r="A52" s="58" t="inlineStr">
        <is>
          <t>IV divided by 30 day HV</t>
        </is>
      </c>
      <c r="B52" s="59" t="n">
        <v>0.964806244939837</v>
      </c>
      <c r="C52" s="51" t="inlineStr"/>
      <c r="D52" s="58" t="inlineStr">
        <is>
          <t>30 day HV percentile (1 year)</t>
        </is>
      </c>
      <c r="E52" s="49" t="n">
        <v>0.6666666666666666</v>
      </c>
      <c r="F52" s="51" t="inlineStr"/>
      <c r="G52" s="51" t="inlineStr"/>
      <c r="H52" s="36" t="inlineStr">
        <is>
          <t>A ratio near 1.00 means implied and realised broadly agree.</t>
        </is>
      </c>
    </row>
    <row r="54" ht="20" customHeight="1">
      <c r="A54" s="6" t="inlineStr">
        <is>
          <t>MarketXLS Live Volatility References</t>
        </is>
      </c>
    </row>
    <row r="55" ht="30" customHeight="1">
      <c r="A55" s="13" t="inlineStr">
        <is>
          <t>Reference</t>
        </is>
      </c>
      <c r="B55" s="13" t="inlineStr">
        <is>
          <t>Value</t>
        </is>
      </c>
      <c r="C55" s="13" t="inlineStr"/>
      <c r="D55" s="13" t="inlineStr"/>
      <c r="E55" s="13" t="inlineStr"/>
      <c r="F55" s="13" t="inlineStr"/>
      <c r="G55" s="13" t="inlineStr"/>
      <c r="H55" s="13" t="inlineStr">
        <is>
          <t>MarketXLS formula</t>
        </is>
      </c>
    </row>
    <row r="56">
      <c r="A56" s="58" t="inlineStr">
        <is>
          <t>30 day implied volatility</t>
        </is>
      </c>
      <c r="B56" s="35">
        <f>ImpliedVolatility30d($B$5)</f>
        <v/>
      </c>
      <c r="C56" s="51" t="inlineStr"/>
      <c r="D56" s="51" t="inlineStr"/>
      <c r="E56" s="51" t="inlineStr"/>
      <c r="F56" s="51" t="inlineStr"/>
      <c r="G56" s="51" t="inlineStr"/>
      <c r="H56" s="61">
        <f>ImpliedVolatility30d($B$5)</f>
        <v/>
      </c>
    </row>
    <row r="57">
      <c r="A57" s="52" t="inlineStr">
        <is>
          <t>30 day realised volatility</t>
        </is>
      </c>
      <c r="B57" s="35">
        <f>StockVolatilityThirtyDays($B$5)</f>
        <v/>
      </c>
      <c r="C57" s="56" t="inlineStr"/>
      <c r="D57" s="56" t="inlineStr"/>
      <c r="E57" s="56" t="inlineStr"/>
      <c r="F57" s="56" t="inlineStr"/>
      <c r="G57" s="56" t="inlineStr"/>
      <c r="H57" s="62">
        <f>StockVolatilityThirtyDays($B$5)</f>
        <v/>
      </c>
    </row>
    <row r="58">
      <c r="A58" s="58" t="inlineStr">
        <is>
          <t>1 year realised volatility</t>
        </is>
      </c>
      <c r="B58" s="35">
        <f>StockVolatilityOneYear($B$5)</f>
        <v/>
      </c>
      <c r="C58" s="51" t="inlineStr"/>
      <c r="D58" s="51" t="inlineStr"/>
      <c r="E58" s="51" t="inlineStr"/>
      <c r="F58" s="51" t="inlineStr"/>
      <c r="G58" s="51" t="inlineStr"/>
      <c r="H58" s="61">
        <f>StockVolatilityOneYear($B$5)</f>
        <v/>
      </c>
    </row>
    <row r="59">
      <c r="A59" s="52" t="inlineStr">
        <is>
          <t>IV rank, 1 year</t>
        </is>
      </c>
      <c r="B59" s="63">
        <f>ImpliedVolatilityRank1y($B$5)</f>
        <v/>
      </c>
      <c r="C59" s="56" t="inlineStr"/>
      <c r="D59" s="56" t="inlineStr"/>
      <c r="E59" s="56" t="inlineStr"/>
      <c r="F59" s="56" t="inlineStr"/>
      <c r="G59" s="56" t="inlineStr"/>
      <c r="H59" s="62">
        <f>ImpliedVolatilityRank1y($B$5)</f>
        <v/>
      </c>
    </row>
    <row r="60">
      <c r="A60" s="58" t="inlineStr">
        <is>
          <t>IV percentile, 1 year</t>
        </is>
      </c>
      <c r="B60" s="64">
        <f>ImpliedVolatilityPct1y($B$5)</f>
        <v/>
      </c>
      <c r="C60" s="51" t="inlineStr"/>
      <c r="D60" s="51" t="inlineStr"/>
      <c r="E60" s="51" t="inlineStr"/>
      <c r="F60" s="51" t="inlineStr"/>
      <c r="G60" s="51" t="inlineStr"/>
      <c r="H60" s="61">
        <f>ImpliedVolatilityPct1y($B$5)</f>
        <v/>
      </c>
    </row>
    <row r="61">
      <c r="A61" s="52" t="inlineStr">
        <is>
          <t>Put/call volume ratio</t>
        </is>
      </c>
      <c r="B61" s="60">
        <f>opt_PutCallVolRatio($B$5)</f>
        <v/>
      </c>
      <c r="C61" s="56" t="inlineStr"/>
      <c r="D61" s="56" t="inlineStr"/>
      <c r="E61" s="56" t="inlineStr"/>
      <c r="F61" s="56" t="inlineStr"/>
      <c r="G61" s="56" t="inlineStr"/>
      <c r="H61" s="62">
        <f>opt_PutCallVolRatio($B$5)</f>
        <v/>
      </c>
    </row>
    <row r="62">
      <c r="A62" s="58" t="inlineStr">
        <is>
          <t>Next earnings date</t>
        </is>
      </c>
      <c r="B62" s="65">
        <f>earnings_date($B$5)</f>
        <v/>
      </c>
      <c r="C62" s="51" t="inlineStr"/>
      <c r="D62" s="51" t="inlineStr"/>
      <c r="E62" s="51" t="inlineStr"/>
      <c r="F62" s="51" t="inlineStr"/>
      <c r="G62" s="51" t="inlineStr"/>
      <c r="H62" s="61">
        <f>earnings_date($B$5)</f>
        <v/>
      </c>
    </row>
    <row r="63">
      <c r="A63" s="21" t="inlineStr">
        <is>
          <t>IV rank, IV percentile and the put/call ratio need a year of stored implied volatility history, which the add-in holds and a static sample cannot. They are marked live only here.</t>
        </is>
      </c>
    </row>
    <row r="65">
      <c r="A65" s="17" t="inlineStr">
        <is>
          <t>MarketXLS Functions Used in This Sheet</t>
        </is>
      </c>
    </row>
    <row r="66">
      <c r="A66" s="18">
        <f>QM_Last(sym)</f>
        <v/>
      </c>
      <c r="B66" s="8" t="inlineStr">
        <is>
          <t>Underlying price for the spot input</t>
        </is>
      </c>
    </row>
    <row r="67">
      <c r="A67" s="18">
        <f>DividendYield(sym)</f>
        <v/>
      </c>
      <c r="B67" s="8" t="inlineStr">
        <is>
          <t>Dividend yield for the carry input</t>
        </is>
      </c>
    </row>
    <row r="68">
      <c r="A68" s="18">
        <f>OptionSymbol(sym,expiry,type,strike)</f>
        <v/>
      </c>
      <c r="B68" s="8" t="inlineStr">
        <is>
          <t>Builds the contract symbol</t>
        </is>
      </c>
    </row>
    <row r="69">
      <c r="A69" s="18">
        <f>QM_OpenInterest(optSymbol)</f>
        <v/>
      </c>
      <c r="B69" s="8" t="inlineStr">
        <is>
          <t>Open interest on the contract</t>
        </is>
      </c>
    </row>
    <row r="70">
      <c r="A70" s="18">
        <f>opt_ImpliedVolatility(S,px,exp,type,K,r,q)</f>
        <v/>
      </c>
      <c r="B70" s="8" t="inlineStr">
        <is>
          <t>One-cell implied volatility solve</t>
        </is>
      </c>
    </row>
    <row r="71">
      <c r="A71" s="18">
        <f>opt_Delta / opt_Gamma / opt_Vega / opt_Theta / opt_Rho</f>
        <v/>
      </c>
      <c r="B71" s="8" t="inlineStr">
        <is>
          <t>Greeks on the same contract</t>
        </is>
      </c>
    </row>
    <row r="72">
      <c r="A72" s="18">
        <f>ImpliedVolatility30d(sym)</f>
        <v/>
      </c>
      <c r="B72" s="8" t="inlineStr">
        <is>
          <t>Thirty day implied volatility, as a decimal</t>
        </is>
      </c>
    </row>
    <row r="73">
      <c r="A73" s="18">
        <f>ImpliedVolatilityRank1y(sym)</f>
        <v/>
      </c>
      <c r="B73" s="8" t="inlineStr">
        <is>
          <t>Where current IV sits in its 1 year range</t>
        </is>
      </c>
    </row>
    <row r="74">
      <c r="A74" s="18">
        <f>ImpliedVolatilityPct1y(sym)</f>
        <v/>
      </c>
      <c r="B74" s="8" t="inlineStr">
        <is>
          <t>Share of the last year spent below current IV</t>
        </is>
      </c>
    </row>
    <row r="75">
      <c r="A75" s="18">
        <f>StockVolatilityThirtyDays(sym)</f>
        <v/>
      </c>
      <c r="B75" s="8" t="inlineStr">
        <is>
          <t>Thirty day realised volatility</t>
        </is>
      </c>
    </row>
    <row r="76">
      <c r="A76" s="18">
        <f>StockVolatilityOneYear(sym)</f>
        <v/>
      </c>
      <c r="B76" s="8" t="inlineStr">
        <is>
          <t>One year realised volatility</t>
        </is>
      </c>
    </row>
    <row r="77">
      <c r="A77" s="18">
        <f>opt_PutCallVolRatio(sym)</f>
        <v/>
      </c>
      <c r="B77" s="8" t="inlineStr">
        <is>
          <t>Put/call volume ratio on the underlying</t>
        </is>
      </c>
    </row>
    <row r="78">
      <c r="A78" s="18">
        <f>earnings_date(sym)</f>
        <v/>
      </c>
      <c r="B78" s="8" t="inlineStr">
        <is>
          <t>Next scheduled earnings date</t>
        </is>
      </c>
    </row>
    <row r="80">
      <c r="A80" s="10" t="inlineStr">
        <is>
          <t>Powered by MarketXLS   |   https://marketxls.com   |   Book a demo: https://marketxls.com/book-demo</t>
        </is>
      </c>
    </row>
  </sheetData>
  <mergeCells count="28">
    <mergeCell ref="A48:H48"/>
    <mergeCell ref="B74:H74"/>
    <mergeCell ref="B68:H68"/>
    <mergeCell ref="A1:H1"/>
    <mergeCell ref="B76:H76"/>
    <mergeCell ref="A65:H65"/>
    <mergeCell ref="A16:H16"/>
    <mergeCell ref="A54:H54"/>
    <mergeCell ref="B75:H75"/>
    <mergeCell ref="B72:H72"/>
    <mergeCell ref="A80:H80"/>
    <mergeCell ref="B66:H66"/>
    <mergeCell ref="B18:E18"/>
    <mergeCell ref="B71:H71"/>
    <mergeCell ref="A2:H2"/>
    <mergeCell ref="B77:H77"/>
    <mergeCell ref="B70:H70"/>
    <mergeCell ref="A14:H14"/>
    <mergeCell ref="B67:H67"/>
    <mergeCell ref="A4:H4"/>
    <mergeCell ref="A20:H20"/>
    <mergeCell ref="A63:H63"/>
    <mergeCell ref="B73:H73"/>
    <mergeCell ref="A28:H28"/>
    <mergeCell ref="B69:H69"/>
    <mergeCell ref="B78:H78"/>
    <mergeCell ref="A31:H31"/>
    <mergeCell ref="A40:H40"/>
  </mergeCells>
  <conditionalFormatting sqref="E22:E26">
    <cfRule type="colorScale" priority="1">
      <colorScale>
        <cfvo type="num" val="-3"/>
        <cfvo type="num" val="0"/>
        <cfvo type="num" val="3"/>
        <color rgb="00D62828"/>
        <color rgb="00FFFFFF"/>
        <color rgb="00D62828"/>
      </colorScale>
    </cfRule>
  </conditionalFormatting>
  <pageMargins left="0.75" right="0.75" top="1" bottom="1" header="0.5" footer="0.5"/>
</worksheet>
</file>

<file path=xl/worksheets/sheet4.xml><?xml version="1.0" encoding="utf-8"?>
<worksheet xmlns="http://schemas.openxmlformats.org/spreadsheetml/2006/main">
  <sheetPr>
    <tabColor rgb="000066CC"/>
    <outlinePr summaryBelow="1" summaryRight="1"/>
    <pageSetUpPr/>
  </sheetPr>
  <dimension ref="A1:I39"/>
  <sheetViews>
    <sheetView showGridLines="0" workbookViewId="0">
      <pane ySplit="5" topLeftCell="A6" activePane="bottomLeft" state="frozen"/>
      <selection pane="bottomLeft" activeCell="A1" sqref="A1"/>
    </sheetView>
  </sheetViews>
  <sheetFormatPr baseColWidth="8" defaultRowHeight="15"/>
  <cols>
    <col width="12" customWidth="1" min="1" max="1"/>
    <col width="12" customWidth="1" min="2" max="2"/>
    <col width="12" customWidth="1" min="3" max="3"/>
    <col width="12" customWidth="1" min="4" max="4"/>
    <col width="13" customWidth="1" min="5" max="5"/>
    <col width="13" customWidth="1" min="6" max="6"/>
    <col width="12" customWidth="1" min="7" max="7"/>
    <col width="12" customWidth="1" min="8" max="8"/>
    <col width="13" customWidth="1" min="9" max="9"/>
  </cols>
  <sheetData>
    <row r="1" ht="30" customHeight="1">
      <c r="A1" s="11" t="inlineStr">
        <is>
          <t>Volatility Smile And Skew</t>
        </is>
      </c>
    </row>
    <row r="2" ht="18" customHeight="1">
      <c r="A2" s="12" t="inlineStr">
        <is>
          <t>NVDA calls expiring 18 Sep 2026   |   every IV solved from the mid price</t>
        </is>
      </c>
    </row>
    <row r="4" ht="20" customHeight="1">
      <c r="A4" s="6" t="inlineStr">
        <is>
          <t>Solved Implied Volatility At Every Strike</t>
        </is>
      </c>
    </row>
    <row r="5" ht="30" customHeight="1">
      <c r="A5" s="13" t="inlineStr">
        <is>
          <t>Strike</t>
        </is>
      </c>
      <c r="B5" s="13" t="inlineStr">
        <is>
          <t>Moneyness</t>
        </is>
      </c>
      <c r="C5" s="13" t="inlineStr">
        <is>
          <t>Bid</t>
        </is>
      </c>
      <c r="D5" s="13" t="inlineStr">
        <is>
          <t>Ask</t>
        </is>
      </c>
      <c r="E5" s="13" t="inlineStr">
        <is>
          <t>Mid</t>
        </is>
      </c>
      <c r="F5" s="13" t="inlineStr">
        <is>
          <t>Call IV</t>
        </is>
      </c>
      <c r="G5" s="13" t="inlineStr">
        <is>
          <t>Put IV</t>
        </is>
      </c>
      <c r="H5" s="13" t="inlineStr">
        <is>
          <t>Call delta</t>
        </is>
      </c>
      <c r="I5" s="13" t="inlineStr">
        <is>
          <t>Vega per point</t>
        </is>
      </c>
    </row>
    <row r="6">
      <c r="A6" s="48" t="n">
        <v>195</v>
      </c>
      <c r="B6" s="66" t="n">
        <v>0.8660507942282255</v>
      </c>
      <c r="C6" s="48" t="n">
        <v>31.85</v>
      </c>
      <c r="D6" s="48" t="n">
        <v>32.55</v>
      </c>
      <c r="E6" s="48" t="n">
        <v>32.2</v>
      </c>
      <c r="F6" s="45">
        <f>opt_ImpliedVolatility('IV Calculator'!$B$6,E6,TEXT('IV Calculator'!$B$8,"yyyy-mm-dd"),"C",A6,'IV Calculator'!$B$11,'IV Calculator'!$B$12)</f>
        <v/>
      </c>
      <c r="G6" s="49" t="n">
        <v>0.4171405344015245</v>
      </c>
      <c r="H6" s="66" t="n">
        <v>0.894864927620233</v>
      </c>
      <c r="I6" s="67" t="n">
        <v>0.1247069356593413</v>
      </c>
    </row>
    <row r="7">
      <c r="A7" s="53" t="n">
        <v>200</v>
      </c>
      <c r="B7" s="68" t="n">
        <v>0.8882572248494621</v>
      </c>
      <c r="C7" s="53" t="n">
        <v>27.75</v>
      </c>
      <c r="D7" s="53" t="n">
        <v>28.2</v>
      </c>
      <c r="E7" s="53" t="n">
        <v>27.975</v>
      </c>
      <c r="F7" s="45">
        <f>opt_ImpliedVolatility('IV Calculator'!$B$6,E7,TEXT('IV Calculator'!$B$8,"yyyy-mm-dd"),"C",A7,'IV Calculator'!$B$11,'IV Calculator'!$B$12)</f>
        <v/>
      </c>
      <c r="G7" s="57" t="n">
        <v>0.4063011172355018</v>
      </c>
      <c r="H7" s="68" t="n">
        <v>0.8526184596011654</v>
      </c>
      <c r="I7" s="69" t="n">
        <v>0.1580353827480349</v>
      </c>
    </row>
    <row r="8">
      <c r="A8" s="48" t="n">
        <v>205</v>
      </c>
      <c r="B8" s="66" t="n">
        <v>0.9104636554706986</v>
      </c>
      <c r="C8" s="48" t="n">
        <v>23.6</v>
      </c>
      <c r="D8" s="48" t="n">
        <v>24.1</v>
      </c>
      <c r="E8" s="48" t="n">
        <v>23.85</v>
      </c>
      <c r="F8" s="45">
        <f>opt_ImpliedVolatility('IV Calculator'!$B$6,E8,TEXT('IV Calculator'!$B$8,"yyyy-mm-dd"),"C",A8,'IV Calculator'!$B$11,'IV Calculator'!$B$12)</f>
        <v/>
      </c>
      <c r="G8" s="49" t="n">
        <v>0.3983567005114071</v>
      </c>
      <c r="H8" s="66" t="n">
        <v>0.8059880619923432</v>
      </c>
      <c r="I8" s="67" t="n">
        <v>0.1886093199963261</v>
      </c>
    </row>
    <row r="9">
      <c r="A9" s="53" t="n">
        <v>210</v>
      </c>
      <c r="B9" s="68" t="n">
        <v>0.9326700860919352</v>
      </c>
      <c r="C9" s="53" t="n">
        <v>19.9</v>
      </c>
      <c r="D9" s="53" t="n">
        <v>20.25</v>
      </c>
      <c r="E9" s="53" t="n">
        <v>20.075</v>
      </c>
      <c r="F9" s="45">
        <f>opt_ImpliedVolatility('IV Calculator'!$B$6,E9,TEXT('IV Calculator'!$B$8,"yyyy-mm-dd"),"C",A9,'IV Calculator'!$B$11,'IV Calculator'!$B$12)</f>
        <v/>
      </c>
      <c r="G9" s="57" t="n">
        <v>0.3934111095290883</v>
      </c>
      <c r="H9" s="68" t="n">
        <v>0.7482482527183824</v>
      </c>
      <c r="I9" s="69" t="n">
        <v>0.2189543851975702</v>
      </c>
    </row>
    <row r="10">
      <c r="A10" s="48" t="n">
        <v>215</v>
      </c>
      <c r="B10" s="66" t="n">
        <v>0.9548765167131718</v>
      </c>
      <c r="C10" s="48" t="n">
        <v>16.45</v>
      </c>
      <c r="D10" s="48" t="n">
        <v>16.8</v>
      </c>
      <c r="E10" s="48" t="n">
        <v>16.625</v>
      </c>
      <c r="F10" s="45">
        <f>opt_ImpliedVolatility('IV Calculator'!$B$6,E10,TEXT('IV Calculator'!$B$8,"yyyy-mm-dd"),"C",A10,'IV Calculator'!$B$11,'IV Calculator'!$B$12)</f>
        <v/>
      </c>
      <c r="G10" s="49" t="n">
        <v>0.3880195304806295</v>
      </c>
      <c r="H10" s="66" t="n">
        <v>0.6826558000528219</v>
      </c>
      <c r="I10" s="67" t="n">
        <v>0.2446987462078752</v>
      </c>
    </row>
    <row r="11">
      <c r="A11" s="53" t="n">
        <v>220</v>
      </c>
      <c r="B11" s="68" t="n">
        <v>0.9770829473344084</v>
      </c>
      <c r="C11" s="53" t="n">
        <v>13.5</v>
      </c>
      <c r="D11" s="53" t="n">
        <v>13.65</v>
      </c>
      <c r="E11" s="53" t="n">
        <v>13.575</v>
      </c>
      <c r="F11" s="45">
        <f>opt_ImpliedVolatility('IV Calculator'!$B$6,E11,TEXT('IV Calculator'!$B$8,"yyyy-mm-dd"),"C",A11,'IV Calculator'!$B$11,'IV Calculator'!$B$12)</f>
        <v/>
      </c>
      <c r="G11" s="57" t="n">
        <v>0.3848573962559768</v>
      </c>
      <c r="H11" s="68" t="n">
        <v>0.6107466916403099</v>
      </c>
      <c r="I11" s="69" t="n">
        <v>0.2633648911328262</v>
      </c>
    </row>
    <row r="12">
      <c r="A12" s="70" t="n">
        <v>225</v>
      </c>
      <c r="B12" s="71" t="n">
        <v>0.9992893779556449</v>
      </c>
      <c r="C12" s="72" t="n">
        <v>10.8</v>
      </c>
      <c r="D12" s="72" t="n">
        <v>10.95</v>
      </c>
      <c r="E12" s="72" t="n">
        <v>10.875</v>
      </c>
      <c r="F12" s="73">
        <f>opt_ImpliedVolatility('IV Calculator'!$B$6,E12,TEXT('IV Calculator'!$B$8,"yyyy-mm-dd"),"C",A12,'IV Calculator'!$B$11,'IV Calculator'!$B$12)</f>
        <v/>
      </c>
      <c r="G12" s="74" t="n">
        <v>0.382818601174506</v>
      </c>
      <c r="H12" s="71" t="n">
        <v>0.5358073190385565</v>
      </c>
      <c r="I12" s="75" t="n">
        <v>0.2729233067413955</v>
      </c>
    </row>
    <row r="13">
      <c r="A13" s="53" t="n">
        <v>230</v>
      </c>
      <c r="B13" s="68" t="n">
        <v>1.021495808576881</v>
      </c>
      <c r="C13" s="53" t="n">
        <v>8.5</v>
      </c>
      <c r="D13" s="53" t="n">
        <v>8.6</v>
      </c>
      <c r="E13" s="53" t="n">
        <v>8.550000000000001</v>
      </c>
      <c r="F13" s="45">
        <f>opt_ImpliedVolatility('IV Calculator'!$B$6,E13,TEXT('IV Calculator'!$B$8,"yyyy-mm-dd"),"C",A13,'IV Calculator'!$B$11,'IV Calculator'!$B$12)</f>
        <v/>
      </c>
      <c r="G13" s="56" t="inlineStr"/>
      <c r="H13" s="68" t="n">
        <v>0.4601887692037646</v>
      </c>
      <c r="I13" s="69" t="n">
        <v>0.2726887767464253</v>
      </c>
    </row>
    <row r="14">
      <c r="A14" s="48" t="n">
        <v>235</v>
      </c>
      <c r="B14" s="66" t="n">
        <v>1.043702239198118</v>
      </c>
      <c r="C14" s="48" t="n">
        <v>6.55</v>
      </c>
      <c r="D14" s="48" t="n">
        <v>6.7</v>
      </c>
      <c r="E14" s="48" t="n">
        <v>6.625</v>
      </c>
      <c r="F14" s="45">
        <f>opt_ImpliedVolatility('IV Calculator'!$B$6,E14,TEXT('IV Calculator'!$B$8,"yyyy-mm-dd"),"C",A14,'IV Calculator'!$B$11,'IV Calculator'!$B$12)</f>
        <v/>
      </c>
      <c r="G14" s="51" t="inlineStr"/>
      <c r="H14" s="66" t="n">
        <v>0.3870510272728197</v>
      </c>
      <c r="I14" s="67" t="n">
        <v>0.2630147387357424</v>
      </c>
    </row>
    <row r="15">
      <c r="A15" s="53" t="n">
        <v>240</v>
      </c>
      <c r="B15" s="68" t="n">
        <v>1.065908669819355</v>
      </c>
      <c r="C15" s="53" t="n">
        <v>5</v>
      </c>
      <c r="D15" s="53" t="n">
        <v>5.1</v>
      </c>
      <c r="E15" s="53" t="n">
        <v>5.05</v>
      </c>
      <c r="F15" s="45">
        <f>opt_ImpliedVolatility('IV Calculator'!$B$6,E15,TEXT('IV Calculator'!$B$8,"yyyy-mm-dd"),"C",A15,'IV Calculator'!$B$11,'IV Calculator'!$B$12)</f>
        <v/>
      </c>
      <c r="G15" s="56" t="inlineStr"/>
      <c r="H15" s="68" t="n">
        <v>0.3188369243944212</v>
      </c>
      <c r="I15" s="69" t="n">
        <v>0.2453174810023573</v>
      </c>
    </row>
    <row r="16">
      <c r="A16" s="48" t="n">
        <v>245</v>
      </c>
      <c r="B16" s="66" t="n">
        <v>1.088115100440591</v>
      </c>
      <c r="C16" s="48" t="n">
        <v>3.75</v>
      </c>
      <c r="D16" s="48" t="n">
        <v>3.85</v>
      </c>
      <c r="E16" s="48" t="n">
        <v>3.8</v>
      </c>
      <c r="F16" s="45">
        <f>opt_ImpliedVolatility('IV Calculator'!$B$6,E16,TEXT('IV Calculator'!$B$8,"yyyy-mm-dd"),"C",A16,'IV Calculator'!$B$11,'IV Calculator'!$B$12)</f>
        <v/>
      </c>
      <c r="G16" s="51" t="inlineStr"/>
      <c r="H16" s="66" t="n">
        <v>0.2576968564179221</v>
      </c>
      <c r="I16" s="67" t="n">
        <v>0.2218367550842942</v>
      </c>
    </row>
    <row r="17">
      <c r="A17" s="53" t="n">
        <v>250</v>
      </c>
      <c r="B17" s="68" t="n">
        <v>1.110321531061828</v>
      </c>
      <c r="C17" s="53" t="n">
        <v>2.82</v>
      </c>
      <c r="D17" s="53" t="n">
        <v>2.87</v>
      </c>
      <c r="E17" s="53" t="n">
        <v>2.845</v>
      </c>
      <c r="F17" s="45">
        <f>opt_ImpliedVolatility('IV Calculator'!$B$6,E17,TEXT('IV Calculator'!$B$8,"yyyy-mm-dd"),"C",A17,'IV Calculator'!$B$11,'IV Calculator'!$B$12)</f>
        <v/>
      </c>
      <c r="G17" s="56" t="inlineStr"/>
      <c r="H17" s="68" t="n">
        <v>0.2053650813268374</v>
      </c>
      <c r="I17" s="69" t="n">
        <v>0.1954256261158598</v>
      </c>
    </row>
    <row r="18">
      <c r="A18" s="48" t="n">
        <v>255</v>
      </c>
      <c r="B18" s="66" t="n">
        <v>1.132527961683064</v>
      </c>
      <c r="C18" s="48" t="n">
        <v>2.09</v>
      </c>
      <c r="D18" s="48" t="n">
        <v>2.15</v>
      </c>
      <c r="E18" s="48" t="n">
        <v>2.12</v>
      </c>
      <c r="F18" s="45">
        <f>opt_ImpliedVolatility('IV Calculator'!$B$6,E18,TEXT('IV Calculator'!$B$8,"yyyy-mm-dd"),"C",A18,'IV Calculator'!$B$11,'IV Calculator'!$B$12)</f>
        <v/>
      </c>
      <c r="G18" s="51" t="inlineStr"/>
      <c r="H18" s="66" t="n">
        <v>0.1617307252948774</v>
      </c>
      <c r="I18" s="67" t="n">
        <v>0.1683587686107315</v>
      </c>
    </row>
    <row r="20" ht="20" customHeight="1">
      <c r="A20" s="6" t="inlineStr">
        <is>
          <t>Reading The Slope</t>
        </is>
      </c>
    </row>
    <row r="21" ht="30" customHeight="1">
      <c r="A21" s="13" t="inlineStr">
        <is>
          <t>Point on the curve</t>
        </is>
      </c>
      <c r="B21" s="13" t="inlineStr">
        <is>
          <t>Solved IV</t>
        </is>
      </c>
      <c r="C21" s="13" t="inlineStr">
        <is>
          <t>Versus at the money</t>
        </is>
      </c>
      <c r="D21" s="13" t="inlineStr"/>
      <c r="E21" s="13" t="inlineStr"/>
      <c r="F21" s="13" t="inlineStr"/>
      <c r="G21" s="13" t="inlineStr"/>
      <c r="H21" s="13" t="inlineStr"/>
      <c r="I21" s="13" t="inlineStr"/>
    </row>
    <row r="22">
      <c r="A22" s="58" t="inlineStr">
        <is>
          <t>Lowest strike shown ($195)</t>
        </is>
      </c>
      <c r="B22" s="49" t="n">
        <v>0.4031937770035482</v>
      </c>
      <c r="C22" s="14" t="inlineStr">
        <is>
          <t>+2.10% against at the money</t>
        </is>
      </c>
      <c r="D22" s="51" t="inlineStr"/>
      <c r="E22" s="51" t="inlineStr"/>
      <c r="F22" s="51" t="inlineStr"/>
      <c r="G22" s="51" t="inlineStr"/>
      <c r="H22" s="51" t="inlineStr"/>
      <c r="I22" s="51" t="inlineStr"/>
    </row>
    <row r="23">
      <c r="A23" s="52" t="inlineStr">
        <is>
          <t>At the money ($225)</t>
        </is>
      </c>
      <c r="B23" s="57" t="n">
        <v>0.3822229812184214</v>
      </c>
      <c r="C23" s="15" t="inlineStr">
        <is>
          <t>Reference point</t>
        </is>
      </c>
      <c r="D23" s="56" t="inlineStr"/>
      <c r="E23" s="56" t="inlineStr"/>
      <c r="F23" s="56" t="inlineStr"/>
      <c r="G23" s="56" t="inlineStr"/>
      <c r="H23" s="56" t="inlineStr"/>
      <c r="I23" s="56" t="inlineStr"/>
    </row>
    <row r="24">
      <c r="A24" s="58" t="inlineStr">
        <is>
          <t>Highest strike shown ($255)</t>
        </is>
      </c>
      <c r="B24" s="49" t="n">
        <v>0.3806261586633018</v>
      </c>
      <c r="C24" s="14" t="inlineStr">
        <is>
          <t>-0.16% against at the money</t>
        </is>
      </c>
      <c r="D24" s="51" t="inlineStr"/>
      <c r="E24" s="51" t="inlineStr"/>
      <c r="F24" s="51" t="inlineStr"/>
      <c r="G24" s="51" t="inlineStr"/>
      <c r="H24" s="51" t="inlineStr"/>
      <c r="I24" s="51" t="inlineStr"/>
    </row>
    <row r="25">
      <c r="A25" s="52" t="inlineStr">
        <is>
          <t>Cheapest strike on the curve</t>
        </is>
      </c>
      <c r="B25" s="57" t="n">
        <v>0.3769445391215464</v>
      </c>
      <c r="C25" s="15" t="inlineStr">
        <is>
          <t>$245 strike</t>
        </is>
      </c>
      <c r="D25" s="56" t="inlineStr"/>
      <c r="E25" s="56" t="inlineStr"/>
      <c r="F25" s="56" t="inlineStr"/>
      <c r="G25" s="56" t="inlineStr"/>
      <c r="H25" s="56" t="inlineStr"/>
      <c r="I25" s="56" t="inlineStr"/>
    </row>
    <row r="27">
      <c r="A27" s="76" t="inlineStr">
        <is>
          <t>Downside strikes carry the higher volatility here, and the curve falls as the strike rises before turning back up at the far upside strikes. That shape is the equity skew. It tells you a single at-the-money volatility number does not price the whole chain, and that any strategy which buys one strike and sells another is trading the slope as well as the level. The Put IV column is a parity check: at a shared strike the call and the put should imply nearly the same volatility, and a wide gap usually means one of the two quotes is stale rather than a real arbitrage.</t>
        </is>
      </c>
    </row>
    <row r="28"/>
    <row r="29"/>
    <row r="31">
      <c r="A31" s="17" t="inlineStr">
        <is>
          <t>MarketXLS Functions Used in This Sheet</t>
        </is>
      </c>
    </row>
    <row r="32">
      <c r="A32" s="18">
        <f>Strikes(sym,expiry)</f>
        <v/>
      </c>
      <c r="B32" s="8" t="inlineStr">
        <is>
          <t>Lists the strikes available for an expiration</t>
        </is>
      </c>
    </row>
    <row r="33">
      <c r="A33" s="18">
        <f>OptionSymbol(sym,expiry,type,strike)</f>
        <v/>
      </c>
      <c r="B33" s="8" t="inlineStr">
        <is>
          <t>Builds each contract symbol in the ladder</t>
        </is>
      </c>
    </row>
    <row r="34">
      <c r="A34" s="18">
        <f>Bid(optSymbol) / =Ask(optSymbol)</f>
        <v/>
      </c>
      <c r="B34" s="8" t="inlineStr">
        <is>
          <t>Two sided quote on each contract</t>
        </is>
      </c>
    </row>
    <row r="35">
      <c r="A35" s="18">
        <f>opt_ImpliedVolatility(...)</f>
        <v/>
      </c>
      <c r="B35" s="8" t="inlineStr">
        <is>
          <t>Solves IV strike by strike</t>
        </is>
      </c>
    </row>
    <row r="36">
      <c r="A36" s="18">
        <f>opt_Delta(...) / =opt_Vega(...)</f>
        <v/>
      </c>
      <c r="B36" s="8" t="inlineStr">
        <is>
          <t>Delta and vega at each strike</t>
        </is>
      </c>
    </row>
    <row r="37">
      <c r="A37" s="18">
        <f>QM_OpenInterest(optSymbol)</f>
        <v/>
      </c>
      <c r="B37" s="8" t="inlineStr">
        <is>
          <t>Open interest, for judging which strikes are liquid</t>
        </is>
      </c>
    </row>
    <row r="39">
      <c r="A39" s="10" t="inlineStr">
        <is>
          <t>Powered by MarketXLS   |   https://marketxls.com   |   Book a demo: https://marketxls.com/book-demo</t>
        </is>
      </c>
    </row>
  </sheetData>
  <mergeCells count="13">
    <mergeCell ref="B35:I35"/>
    <mergeCell ref="A2:I2"/>
    <mergeCell ref="B33:I33"/>
    <mergeCell ref="A27:I29"/>
    <mergeCell ref="B34:I34"/>
    <mergeCell ref="A1:I1"/>
    <mergeCell ref="B36:I36"/>
    <mergeCell ref="A31:I31"/>
    <mergeCell ref="B37:I37"/>
    <mergeCell ref="A39:I39"/>
    <mergeCell ref="B32:I32"/>
    <mergeCell ref="A4:I4"/>
    <mergeCell ref="A20:I20"/>
  </mergeCells>
  <conditionalFormatting sqref="F6:F18">
    <cfRule type="colorScale" priority="1">
      <colorScale>
        <cfvo type="min"/>
        <cfvo type="max"/>
        <color rgb="00FFFFFF"/>
        <color rgb="009DC3E6"/>
      </colorScale>
    </cfRule>
  </conditionalFormatting>
  <pageMargins left="0.75" right="0.75" top="1" bottom="1" header="0.5" footer="0.5"/>
</worksheet>
</file>

<file path=xl/worksheets/sheet5.xml><?xml version="1.0" encoding="utf-8"?>
<worksheet xmlns="http://schemas.openxmlformats.org/spreadsheetml/2006/main">
  <sheetPr>
    <tabColor rgb="00003366"/>
    <outlinePr summaryBelow="1" summaryRight="1"/>
    <pageSetUpPr/>
  </sheetPr>
  <dimension ref="A1:H41"/>
  <sheetViews>
    <sheetView showGridLines="0" workbookViewId="0">
      <pane ySplit="5" topLeftCell="A6" activePane="bottomLeft" state="frozen"/>
      <selection pane="bottomLeft" activeCell="A1" sqref="A1"/>
    </sheetView>
  </sheetViews>
  <sheetFormatPr baseColWidth="8" defaultRowHeight="15"/>
  <cols>
    <col width="15" customWidth="1" min="1" max="1"/>
    <col width="10" customWidth="1" min="2" max="2"/>
    <col width="12" customWidth="1" min="3" max="3"/>
    <col width="12" customWidth="1" min="4" max="4"/>
    <col width="13" customWidth="1" min="5" max="5"/>
    <col width="14" customWidth="1" min="6" max="6"/>
    <col width="14" customWidth="1" min="7" max="7"/>
    <col width="40" customWidth="1" min="8" max="8"/>
  </cols>
  <sheetData>
    <row r="1" ht="30" customHeight="1">
      <c r="A1" s="11" t="inlineStr">
        <is>
          <t>Implied Volatility Term Structure</t>
        </is>
      </c>
    </row>
    <row r="2" ht="18" customHeight="1">
      <c r="A2" s="12" t="inlineStr">
        <is>
          <t>NVDA at the money calls   |   earnings 26 Aug 2026</t>
        </is>
      </c>
    </row>
    <row r="4" ht="20" customHeight="1">
      <c r="A4" s="6" t="inlineStr">
        <is>
          <t>At The Money Implied Volatility By Expiration</t>
        </is>
      </c>
    </row>
    <row r="5" ht="30" customHeight="1">
      <c r="A5" s="13" t="inlineStr">
        <is>
          <t>Expiration</t>
        </is>
      </c>
      <c r="B5" s="13" t="inlineStr">
        <is>
          <t>Days</t>
        </is>
      </c>
      <c r="C5" s="13" t="inlineStr">
        <is>
          <t>Strike</t>
        </is>
      </c>
      <c r="D5" s="13" t="inlineStr">
        <is>
          <t>Mid price</t>
        </is>
      </c>
      <c r="E5" s="13" t="inlineStr">
        <is>
          <t>Solved IV</t>
        </is>
      </c>
      <c r="F5" s="13" t="inlineStr">
        <is>
          <t>Change vs prior</t>
        </is>
      </c>
      <c r="G5" s="13" t="inlineStr">
        <is>
          <t>Earnings inside?</t>
        </is>
      </c>
      <c r="H5" s="13" t="inlineStr">
        <is>
          <t>Note</t>
        </is>
      </c>
    </row>
    <row r="6">
      <c r="A6" s="77" t="n">
        <v>46251</v>
      </c>
      <c r="B6" s="30" t="n">
        <v>2</v>
      </c>
      <c r="C6" s="48" t="n">
        <v>225</v>
      </c>
      <c r="D6" s="48" t="n">
        <v>1.785</v>
      </c>
      <c r="E6" s="49" t="n">
        <v>0.2532399517816823</v>
      </c>
      <c r="F6" s="50" t="inlineStr"/>
      <c r="G6" s="51" t="inlineStr">
        <is>
          <t>No</t>
        </is>
      </c>
      <c r="H6" s="36" t="inlineStr"/>
    </row>
    <row r="7">
      <c r="A7" s="78" t="n">
        <v>46253</v>
      </c>
      <c r="B7" s="37" t="n">
        <v>4</v>
      </c>
      <c r="C7" s="53" t="n">
        <v>225</v>
      </c>
      <c r="D7" s="53" t="n">
        <v>2.965</v>
      </c>
      <c r="E7" s="57" t="n">
        <v>0.3025517464438353</v>
      </c>
      <c r="F7" s="55" t="n">
        <v>0.04931179466215302</v>
      </c>
      <c r="G7" s="56" t="inlineStr">
        <is>
          <t>No</t>
        </is>
      </c>
      <c r="H7" s="44" t="inlineStr"/>
    </row>
    <row r="8">
      <c r="A8" s="77" t="n">
        <v>46255</v>
      </c>
      <c r="B8" s="30" t="n">
        <v>6</v>
      </c>
      <c r="C8" s="48" t="n">
        <v>225</v>
      </c>
      <c r="D8" s="48" t="n">
        <v>3.85</v>
      </c>
      <c r="E8" s="49" t="n">
        <v>0.3222214106353468</v>
      </c>
      <c r="F8" s="50" t="n">
        <v>0.01966966419151145</v>
      </c>
      <c r="G8" s="51" t="inlineStr">
        <is>
          <t>No</t>
        </is>
      </c>
      <c r="H8" s="36" t="inlineStr"/>
    </row>
    <row r="9">
      <c r="A9" s="79" t="n">
        <v>46262</v>
      </c>
      <c r="B9" s="80" t="n">
        <v>13</v>
      </c>
      <c r="C9" s="72" t="n">
        <v>225</v>
      </c>
      <c r="D9" s="72" t="n">
        <v>7.75</v>
      </c>
      <c r="E9" s="81" t="n">
        <v>0.445262682282245</v>
      </c>
      <c r="F9" s="82" t="n">
        <v>0.1230412716468983</v>
      </c>
      <c r="G9" s="83" t="inlineStr">
        <is>
          <t>First to include</t>
        </is>
      </c>
      <c r="H9" s="84" t="inlineStr">
        <is>
          <t>This is the earnings expiration. IV jumps because one unknown event sits inside it.</t>
        </is>
      </c>
    </row>
    <row r="10">
      <c r="A10" s="77" t="n">
        <v>46269</v>
      </c>
      <c r="B10" s="30" t="n">
        <v>20</v>
      </c>
      <c r="C10" s="48" t="n">
        <v>225</v>
      </c>
      <c r="D10" s="48" t="n">
        <v>9</v>
      </c>
      <c r="E10" s="49" t="n">
        <v>0.4153312469163981</v>
      </c>
      <c r="F10" s="50" t="n">
        <v>-0.02993143536584691</v>
      </c>
      <c r="G10" s="51" t="inlineStr">
        <is>
          <t>Yes</t>
        </is>
      </c>
      <c r="H10" s="36" t="inlineStr"/>
    </row>
    <row r="11">
      <c r="A11" s="78" t="n">
        <v>46276</v>
      </c>
      <c r="B11" s="37" t="n">
        <v>27</v>
      </c>
      <c r="C11" s="53" t="n">
        <v>225</v>
      </c>
      <c r="D11" s="53" t="n">
        <v>9.800000000000001</v>
      </c>
      <c r="E11" s="57" t="n">
        <v>0.3875220790047645</v>
      </c>
      <c r="F11" s="55" t="n">
        <v>-0.02780916791163363</v>
      </c>
      <c r="G11" s="56" t="inlineStr">
        <is>
          <t>Yes</t>
        </is>
      </c>
      <c r="H11" s="44" t="inlineStr"/>
    </row>
    <row r="12">
      <c r="A12" s="77" t="n">
        <v>46283</v>
      </c>
      <c r="B12" s="30" t="n">
        <v>34</v>
      </c>
      <c r="C12" s="48" t="n">
        <v>225</v>
      </c>
      <c r="D12" s="48" t="n">
        <v>10.875</v>
      </c>
      <c r="E12" s="49" t="n">
        <v>0.3822229812184214</v>
      </c>
      <c r="F12" s="50" t="n">
        <v>-0.005299097786343132</v>
      </c>
      <c r="G12" s="51" t="inlineStr">
        <is>
          <t>Yes</t>
        </is>
      </c>
      <c r="H12" s="36" t="inlineStr"/>
    </row>
    <row r="13">
      <c r="A13" s="78" t="n">
        <v>46290</v>
      </c>
      <c r="B13" s="37" t="n">
        <v>41</v>
      </c>
      <c r="C13" s="53" t="n">
        <v>225</v>
      </c>
      <c r="D13" s="53" t="n">
        <v>11.9</v>
      </c>
      <c r="E13" s="57" t="n">
        <v>0.3800292493464593</v>
      </c>
      <c r="F13" s="55" t="n">
        <v>-0.00219373187196209</v>
      </c>
      <c r="G13" s="56" t="inlineStr">
        <is>
          <t>Yes</t>
        </is>
      </c>
      <c r="H13" s="44" t="inlineStr"/>
    </row>
    <row r="14">
      <c r="A14" s="77" t="n">
        <v>46311</v>
      </c>
      <c r="B14" s="30" t="n">
        <v>62</v>
      </c>
      <c r="C14" s="48" t="n">
        <v>225</v>
      </c>
      <c r="D14" s="48" t="n">
        <v>14.7</v>
      </c>
      <c r="E14" s="49" t="n">
        <v>0.3797071997847921</v>
      </c>
      <c r="F14" s="50" t="n">
        <v>-0.0003220495616671482</v>
      </c>
      <c r="G14" s="51" t="inlineStr">
        <is>
          <t>Yes</t>
        </is>
      </c>
      <c r="H14" s="36" t="inlineStr"/>
    </row>
    <row r="15">
      <c r="A15" s="78" t="n">
        <v>46346</v>
      </c>
      <c r="B15" s="37" t="n">
        <v>97</v>
      </c>
      <c r="C15" s="53" t="n">
        <v>225</v>
      </c>
      <c r="D15" s="53" t="n">
        <v>19.5</v>
      </c>
      <c r="E15" s="57" t="n">
        <v>0.4011081213214281</v>
      </c>
      <c r="F15" s="55" t="n">
        <v>0.02140092153663598</v>
      </c>
      <c r="G15" s="56" t="inlineStr">
        <is>
          <t>Yes</t>
        </is>
      </c>
      <c r="H15" s="44" t="inlineStr"/>
    </row>
    <row r="16">
      <c r="A16" s="77" t="n">
        <v>46374</v>
      </c>
      <c r="B16" s="30" t="n">
        <v>125</v>
      </c>
      <c r="C16" s="48" t="n">
        <v>225</v>
      </c>
      <c r="D16" s="48" t="n">
        <v>21.95</v>
      </c>
      <c r="E16" s="49" t="n">
        <v>0.3956315573809782</v>
      </c>
      <c r="F16" s="50" t="n">
        <v>-0.00547656394044993</v>
      </c>
      <c r="G16" s="51" t="inlineStr">
        <is>
          <t>Yes</t>
        </is>
      </c>
      <c r="H16" s="36" t="inlineStr"/>
    </row>
    <row r="17">
      <c r="A17" s="78" t="n">
        <v>46402</v>
      </c>
      <c r="B17" s="37" t="n">
        <v>153</v>
      </c>
      <c r="C17" s="53" t="n">
        <v>225</v>
      </c>
      <c r="D17" s="53" t="n">
        <v>24.725</v>
      </c>
      <c r="E17" s="57" t="n">
        <v>0.4017049745577863</v>
      </c>
      <c r="F17" s="55" t="n">
        <v>0.006073417176808149</v>
      </c>
      <c r="G17" s="56" t="inlineStr">
        <is>
          <t>Yes</t>
        </is>
      </c>
      <c r="H17" s="44" t="inlineStr"/>
    </row>
    <row r="18">
      <c r="A18" s="77" t="n">
        <v>46437</v>
      </c>
      <c r="B18" s="30" t="n">
        <v>188</v>
      </c>
      <c r="C18" s="48" t="n">
        <v>225</v>
      </c>
      <c r="D18" s="48" t="n">
        <v>27.425</v>
      </c>
      <c r="E18" s="49" t="n">
        <v>0.4002089353067973</v>
      </c>
      <c r="F18" s="50" t="n">
        <v>-0.001496039250989012</v>
      </c>
      <c r="G18" s="51" t="inlineStr">
        <is>
          <t>Yes</t>
        </is>
      </c>
      <c r="H18" s="36" t="inlineStr"/>
    </row>
    <row r="19">
      <c r="A19" s="78" t="n">
        <v>46465</v>
      </c>
      <c r="B19" s="37" t="n">
        <v>216</v>
      </c>
      <c r="C19" s="53" t="n">
        <v>225</v>
      </c>
      <c r="D19" s="53" t="n">
        <v>30.225</v>
      </c>
      <c r="E19" s="57" t="n">
        <v>0.411267934443292</v>
      </c>
      <c r="F19" s="55" t="n">
        <v>0.01105899913649472</v>
      </c>
      <c r="G19" s="56" t="inlineStr">
        <is>
          <t>Yes</t>
        </is>
      </c>
      <c r="H19" s="44" t="inlineStr"/>
    </row>
    <row r="20">
      <c r="A20" s="77" t="n">
        <v>46555</v>
      </c>
      <c r="B20" s="30" t="n">
        <v>306</v>
      </c>
      <c r="C20" s="48" t="n">
        <v>225</v>
      </c>
      <c r="D20" s="48" t="n">
        <v>36.775</v>
      </c>
      <c r="E20" s="49" t="n">
        <v>0.4181672660419959</v>
      </c>
      <c r="F20" s="50" t="n">
        <v>0.006899331598703873</v>
      </c>
      <c r="G20" s="51" t="inlineStr">
        <is>
          <t>Yes</t>
        </is>
      </c>
      <c r="H20" s="36" t="inlineStr"/>
    </row>
    <row r="21">
      <c r="A21" s="78" t="n">
        <v>46647</v>
      </c>
      <c r="B21" s="37" t="n">
        <v>398</v>
      </c>
      <c r="C21" s="53" t="n">
        <v>225</v>
      </c>
      <c r="D21" s="53" t="n">
        <v>42.475</v>
      </c>
      <c r="E21" s="57" t="n">
        <v>0.4217685687675303</v>
      </c>
      <c r="F21" s="55" t="n">
        <v>0.003601302725534439</v>
      </c>
      <c r="G21" s="56" t="inlineStr">
        <is>
          <t>Yes</t>
        </is>
      </c>
      <c r="H21" s="44" t="inlineStr"/>
    </row>
    <row r="23" ht="20" customHeight="1">
      <c r="A23" s="6" t="inlineStr">
        <is>
          <t>The Expected Move The Front Expirations Are Pricing</t>
        </is>
      </c>
    </row>
    <row r="24" ht="30" customHeight="1">
      <c r="A24" s="13" t="inlineStr">
        <is>
          <t>Expiration</t>
        </is>
      </c>
      <c r="B24" s="13" t="inlineStr">
        <is>
          <t>Days</t>
        </is>
      </c>
      <c r="C24" s="13" t="inlineStr">
        <is>
          <t>ATM straddle</t>
        </is>
      </c>
      <c r="D24" s="13" t="inlineStr">
        <is>
          <t>Expected move</t>
        </is>
      </c>
      <c r="E24" s="13" t="inlineStr"/>
      <c r="F24" s="13" t="inlineStr"/>
      <c r="G24" s="13" t="inlineStr"/>
      <c r="H24" s="13" t="inlineStr">
        <is>
          <t>Reading</t>
        </is>
      </c>
    </row>
    <row r="25">
      <c r="A25" s="77" t="n">
        <v>46255</v>
      </c>
      <c r="B25" s="30" t="n">
        <v>6</v>
      </c>
      <c r="C25" s="48" t="n">
        <v>7.3</v>
      </c>
      <c r="D25" s="85" t="n">
        <v>0.03242138870700537</v>
      </c>
      <c r="E25" s="51" t="inlineStr"/>
      <c r="F25" s="51" t="inlineStr"/>
      <c r="G25" s="51" t="inlineStr"/>
      <c r="H25" s="36" t="inlineStr">
        <is>
          <t>The last expiration that closes before earnings.</t>
        </is>
      </c>
    </row>
    <row r="26">
      <c r="A26" s="78" t="n">
        <v>46262</v>
      </c>
      <c r="B26" s="37" t="n">
        <v>13</v>
      </c>
      <c r="C26" s="53" t="n">
        <v>15</v>
      </c>
      <c r="D26" s="54" t="n">
        <v>0.06661929186370966</v>
      </c>
      <c r="E26" s="56" t="inlineStr"/>
      <c r="F26" s="56" t="inlineStr"/>
      <c r="G26" s="56" t="inlineStr"/>
      <c r="H26" s="44" t="inlineStr">
        <is>
          <t>The first expiration that contains earnings.</t>
        </is>
      </c>
    </row>
    <row r="27">
      <c r="A27" s="77" t="n">
        <v>46283</v>
      </c>
      <c r="B27" s="30" t="n">
        <v>34</v>
      </c>
      <c r="C27" s="48" t="n">
        <v>20.93</v>
      </c>
      <c r="D27" s="85" t="n">
        <v>0.09295611858049621</v>
      </c>
      <c r="E27" s="51" t="inlineStr"/>
      <c r="F27" s="51" t="inlineStr"/>
      <c r="G27" s="51" t="inlineStr"/>
      <c r="H27" s="36" t="inlineStr">
        <is>
          <t>The worked contract expiration.</t>
        </is>
      </c>
    </row>
    <row r="29">
      <c r="A29" s="76" t="inlineStr">
        <is>
          <t>The step between the 21 August and the 28 August expirations is the clearest signal on this sheet. One extra week of calendar time adds a large block of implied volatility because that week contains the earnings release. Nothing about the stock changed to cause it. The market simply cannot price a window holding an unknown result the same way it prices a quiet week. Beyond the event the curve settles and then drifts higher with maturity, which is the ordinary shape for a single stock.</t>
        </is>
      </c>
    </row>
    <row r="30"/>
    <row r="31"/>
    <row r="33">
      <c r="A33" s="17" t="inlineStr">
        <is>
          <t>MarketXLS Functions Used in This Sheet</t>
        </is>
      </c>
    </row>
    <row r="34">
      <c r="A34" s="18">
        <f>ExpirationNext(sym,n)</f>
        <v/>
      </c>
      <c r="B34" s="8" t="inlineStr">
        <is>
          <t>Returns the nth expiration date for the underlying</t>
        </is>
      </c>
    </row>
    <row r="35">
      <c r="A35" s="18">
        <f>OptionSymbol(sym,expiry,type,strike)</f>
        <v/>
      </c>
      <c r="B35" s="8" t="inlineStr">
        <is>
          <t>Builds the at the money contract for each expiry</t>
        </is>
      </c>
    </row>
    <row r="36">
      <c r="A36" s="18">
        <f>Bid(optSymbol) / =Ask(optSymbol)</f>
        <v/>
      </c>
      <c r="B36" s="8" t="inlineStr">
        <is>
          <t>Quote used for the mid price</t>
        </is>
      </c>
    </row>
    <row r="37">
      <c r="A37" s="18">
        <f>opt_ImpliedVolatility(...)</f>
        <v/>
      </c>
      <c r="B37" s="8" t="inlineStr">
        <is>
          <t>Solves the at the money IV for each expiration</t>
        </is>
      </c>
    </row>
    <row r="38">
      <c r="A38" s="18">
        <f>OPT_DaysToExpiration(optSymbol)</f>
        <v/>
      </c>
      <c r="B38" s="8" t="inlineStr">
        <is>
          <t>Days remaining on each contract</t>
        </is>
      </c>
    </row>
    <row r="39">
      <c r="A39" s="18">
        <f>earnings_date(sym)</f>
        <v/>
      </c>
      <c r="B39" s="8" t="inlineStr">
        <is>
          <t>Marks which expiration first contains the event</t>
        </is>
      </c>
    </row>
    <row r="41">
      <c r="A41" s="10" t="inlineStr">
        <is>
          <t>Powered by MarketXLS   |   https://marketxls.com   |   Book a demo: https://marketxls.com/book-demo</t>
        </is>
      </c>
    </row>
  </sheetData>
  <mergeCells count="13">
    <mergeCell ref="A4:H4"/>
    <mergeCell ref="B36:H36"/>
    <mergeCell ref="B35:H35"/>
    <mergeCell ref="A2:H2"/>
    <mergeCell ref="A29:H31"/>
    <mergeCell ref="B39:H39"/>
    <mergeCell ref="B38:H38"/>
    <mergeCell ref="A33:H33"/>
    <mergeCell ref="A41:H41"/>
    <mergeCell ref="A1:H1"/>
    <mergeCell ref="A23:H23"/>
    <mergeCell ref="B34:H34"/>
    <mergeCell ref="B37:H37"/>
  </mergeCells>
  <pageMargins left="0.75" right="0.75" top="1" bottom="1" header="0.5" footer="0.5"/>
</worksheet>
</file>

<file path=xl/worksheets/sheet6.xml><?xml version="1.0" encoding="utf-8"?>
<worksheet xmlns="http://schemas.openxmlformats.org/spreadsheetml/2006/main">
  <sheetPr>
    <tabColor rgb="000066CC"/>
    <outlinePr summaryBelow="1" summaryRight="1"/>
    <pageSetUpPr/>
  </sheetPr>
  <dimension ref="A1:H30"/>
  <sheetViews>
    <sheetView showGridLines="0" workbookViewId="0">
      <pane ySplit="5" topLeftCell="A6" activePane="bottomLeft" state="frozen"/>
      <selection pane="bottomLeft" activeCell="A1" sqref="A1"/>
    </sheetView>
  </sheetViews>
  <sheetFormatPr baseColWidth="8" defaultRowHeight="15"/>
  <cols>
    <col width="12" customWidth="1" min="1" max="1"/>
    <col width="14" customWidth="1" min="2" max="2"/>
    <col width="10" customWidth="1" min="3" max="3"/>
    <col width="14" customWidth="1" min="4" max="4"/>
    <col width="14" customWidth="1" min="5" max="5"/>
    <col width="13" customWidth="1" min="6" max="6"/>
    <col width="16" customWidth="1" min="7" max="7"/>
    <col width="34" customWidth="1" min="8" max="8"/>
  </cols>
  <sheetData>
    <row r="1" ht="30" customHeight="1">
      <c r="A1" s="11" t="inlineStr">
        <is>
          <t>Implied Versus Realised Volatility</t>
        </is>
      </c>
    </row>
    <row r="2" ht="18" customHeight="1">
      <c r="A2" s="12" t="inlineStr">
        <is>
          <t>At the money IV near 30 days against 30 day realised volatility   |   2026-08-15</t>
        </is>
      </c>
    </row>
    <row r="4" ht="20" customHeight="1">
      <c r="A4" s="6" t="inlineStr">
        <is>
          <t>Peer Comparison</t>
        </is>
      </c>
    </row>
    <row r="5" ht="30" customHeight="1">
      <c r="A5" s="13" t="inlineStr">
        <is>
          <t>Symbol</t>
        </is>
      </c>
      <c r="B5" s="13" t="inlineStr">
        <is>
          <t>Price</t>
        </is>
      </c>
      <c r="C5" s="13" t="inlineStr">
        <is>
          <t>Days</t>
        </is>
      </c>
      <c r="D5" s="13" t="inlineStr">
        <is>
          <t>ATM IV</t>
        </is>
      </c>
      <c r="E5" s="13" t="inlineStr">
        <is>
          <t>30 day HV</t>
        </is>
      </c>
      <c r="F5" s="13" t="inlineStr">
        <is>
          <t>IV / HV</t>
        </is>
      </c>
      <c r="G5" s="13" t="inlineStr">
        <is>
          <t>HV percentile 1y</t>
        </is>
      </c>
      <c r="H5" s="13" t="inlineStr">
        <is>
          <t>What the ratio says</t>
        </is>
      </c>
    </row>
    <row r="6">
      <c r="A6" s="86" t="inlineStr">
        <is>
          <t>AMD</t>
        </is>
      </c>
      <c r="B6" s="31">
        <f>QM_Last(A6)</f>
        <v/>
      </c>
      <c r="C6" s="30" t="n">
        <v>27</v>
      </c>
      <c r="D6" s="35">
        <f>ImpliedVolatility30d(A6)</f>
        <v/>
      </c>
      <c r="E6" s="35">
        <f>StockVolatilityThirtyDays(A6)</f>
        <v/>
      </c>
      <c r="F6" s="87" t="n">
        <v>0.7286593038406727</v>
      </c>
      <c r="G6" s="64" t="n">
        <v>0.6707818930041153</v>
      </c>
      <c r="H6" s="36" t="inlineStr">
        <is>
          <t>Implied sits below recent realised movement.</t>
        </is>
      </c>
    </row>
    <row r="7">
      <c r="A7" s="88" t="inlineStr">
        <is>
          <t>TSLA</t>
        </is>
      </c>
      <c r="B7" s="31">
        <f>QM_Last(A7)</f>
        <v/>
      </c>
      <c r="C7" s="37" t="n">
        <v>27</v>
      </c>
      <c r="D7" s="35">
        <f>ImpliedVolatility30d(A7)</f>
        <v/>
      </c>
      <c r="E7" s="35">
        <f>StockVolatilityThirtyDays(A7)</f>
        <v/>
      </c>
      <c r="F7" s="89" t="n">
        <v>0.6445809705080811</v>
      </c>
      <c r="G7" s="63" t="n">
        <v>0.9300411522633745</v>
      </c>
      <c r="H7" s="44" t="inlineStr">
        <is>
          <t>Implied sits below recent realised movement.</t>
        </is>
      </c>
    </row>
    <row r="8">
      <c r="A8" s="86" t="inlineStr">
        <is>
          <t>NVDA</t>
        </is>
      </c>
      <c r="B8" s="31">
        <f>QM_Last(A8)</f>
        <v/>
      </c>
      <c r="C8" s="30" t="n">
        <v>27</v>
      </c>
      <c r="D8" s="35">
        <f>ImpliedVolatility30d(A8)</f>
        <v/>
      </c>
      <c r="E8" s="35">
        <f>StockVolatilityThirtyDays(A8)</f>
        <v/>
      </c>
      <c r="F8" s="87" t="n">
        <v>0.9850568494546713</v>
      </c>
      <c r="G8" s="64" t="n">
        <v>0.6666666666666666</v>
      </c>
      <c r="H8" s="36" t="inlineStr">
        <is>
          <t>Implied and realised are broadly in line.</t>
        </is>
      </c>
    </row>
    <row r="9">
      <c r="A9" s="88" t="inlineStr">
        <is>
          <t>META</t>
        </is>
      </c>
      <c r="B9" s="31">
        <f>QM_Last(A9)</f>
        <v/>
      </c>
      <c r="C9" s="37" t="n">
        <v>27</v>
      </c>
      <c r="D9" s="35">
        <f>ImpliedVolatility30d(A9)</f>
        <v/>
      </c>
      <c r="E9" s="35">
        <f>StockVolatilityThirtyDays(A9)</f>
        <v/>
      </c>
      <c r="F9" s="89" t="n">
        <v>0.6853274259471683</v>
      </c>
      <c r="G9" s="63" t="n">
        <v>0.8436213991769548</v>
      </c>
      <c r="H9" s="44" t="inlineStr">
        <is>
          <t>Implied sits below recent realised movement.</t>
        </is>
      </c>
    </row>
    <row r="10">
      <c r="A10" s="86" t="inlineStr">
        <is>
          <t>MSFT</t>
        </is>
      </c>
      <c r="B10" s="31">
        <f>QM_Last(A10)</f>
        <v/>
      </c>
      <c r="C10" s="30" t="n">
        <v>27</v>
      </c>
      <c r="D10" s="35">
        <f>ImpliedVolatility30d(A10)</f>
        <v/>
      </c>
      <c r="E10" s="35">
        <f>StockVolatilityThirtyDays(A10)</f>
        <v/>
      </c>
      <c r="F10" s="87" t="n">
        <v>0.4975800759782602</v>
      </c>
      <c r="G10" s="64" t="n">
        <v>0.9629629629629629</v>
      </c>
      <c r="H10" s="36" t="inlineStr">
        <is>
          <t>Implied sits below recent realised movement.</t>
        </is>
      </c>
    </row>
    <row r="11">
      <c r="A11" s="88" t="inlineStr">
        <is>
          <t>AAPL</t>
        </is>
      </c>
      <c r="B11" s="31">
        <f>QM_Last(A11)</f>
        <v/>
      </c>
      <c r="C11" s="37" t="n">
        <v>27</v>
      </c>
      <c r="D11" s="35">
        <f>ImpliedVolatility30d(A11)</f>
        <v/>
      </c>
      <c r="E11" s="35">
        <f>StockVolatilityThirtyDays(A11)</f>
        <v/>
      </c>
      <c r="F11" s="89" t="n">
        <v>0.7176118473312831</v>
      </c>
      <c r="G11" s="63" t="n">
        <v>0.8724279835390947</v>
      </c>
      <c r="H11" s="44" t="inlineStr">
        <is>
          <t>Implied sits below recent realised movement.</t>
        </is>
      </c>
    </row>
    <row r="12">
      <c r="A12" s="86" t="inlineStr">
        <is>
          <t>JPM</t>
        </is>
      </c>
      <c r="B12" s="31">
        <f>QM_Last(A12)</f>
        <v/>
      </c>
      <c r="C12" s="30" t="n">
        <v>27</v>
      </c>
      <c r="D12" s="35">
        <f>ImpliedVolatility30d(A12)</f>
        <v/>
      </c>
      <c r="E12" s="35">
        <f>StockVolatilityThirtyDays(A12)</f>
        <v/>
      </c>
      <c r="F12" s="87" t="n">
        <v>0.9300610850851359</v>
      </c>
      <c r="G12" s="64" t="n">
        <v>0.2386831275720165</v>
      </c>
      <c r="H12" s="36" t="inlineStr">
        <is>
          <t>Implied sits below recent realised movement.</t>
        </is>
      </c>
    </row>
    <row r="13">
      <c r="A13" s="88" t="inlineStr">
        <is>
          <t>SPY</t>
        </is>
      </c>
      <c r="B13" s="31">
        <f>QM_Last(A13)</f>
        <v/>
      </c>
      <c r="C13" s="37" t="n">
        <v>27</v>
      </c>
      <c r="D13" s="35">
        <f>ImpliedVolatility30d(A13)</f>
        <v/>
      </c>
      <c r="E13" s="35">
        <f>StockVolatilityThirtyDays(A13)</f>
        <v/>
      </c>
      <c r="F13" s="89" t="n">
        <v>0.9673465316884334</v>
      </c>
      <c r="G13" s="63" t="n">
        <v>0.4691358024691358</v>
      </c>
      <c r="H13" s="44" t="inlineStr">
        <is>
          <t>Implied and realised are broadly in line.</t>
        </is>
      </c>
    </row>
    <row r="15" ht="20" customHeight="1">
      <c r="A15" s="6" t="inlineStr">
        <is>
          <t>How To Use The Ratio</t>
        </is>
      </c>
    </row>
    <row r="16">
      <c r="A16" s="76" t="inlineStr">
        <is>
          <t>Raw IV levels are not comparable across names. A 12% implied volatility on a broad index and a 57% implied volatility on a fast moving single stock can both be ordinary for that asset. Dividing implied by recent realised volatility puts every name on one scale. A ratio above 1.00 says the option market is asking for more movement than the stock has recently produced. A ratio below 1.00 says the opposite. Neither reading is a signal on its own, because realised volatility looks backward and implied looks forward, and a scheduled event inside the option window is a legitimate reason for the two to differ. The HV percentile column guards against that trap: it shows whether the realised figure in the denominator is itself unusual for the last year.</t>
        </is>
      </c>
    </row>
    <row r="17"/>
    <row r="18"/>
    <row r="19"/>
    <row r="21">
      <c r="A21" s="17" t="inlineStr">
        <is>
          <t>MarketXLS Functions Used in This Sheet</t>
        </is>
      </c>
    </row>
    <row r="22">
      <c r="A22" s="18">
        <f>QM_Last(sym)</f>
        <v/>
      </c>
      <c r="B22" s="8" t="inlineStr">
        <is>
          <t>Current price for each peer</t>
        </is>
      </c>
    </row>
    <row r="23">
      <c r="A23" s="18">
        <f>ImpliedVolatility30d(sym)</f>
        <v/>
      </c>
      <c r="B23" s="8" t="inlineStr">
        <is>
          <t>Thirty day implied volatility, as a decimal</t>
        </is>
      </c>
    </row>
    <row r="24">
      <c r="A24" s="18">
        <f>StockVolatilityThirtyDays(sym)</f>
        <v/>
      </c>
      <c r="B24" s="8" t="inlineStr">
        <is>
          <t>Thirty day realised volatility, as a decimal</t>
        </is>
      </c>
    </row>
    <row r="25">
      <c r="A25" s="18">
        <f>StockVolatilityOneYear(sym)</f>
        <v/>
      </c>
      <c r="B25" s="8" t="inlineStr">
        <is>
          <t>One year realised volatility, for a longer baseline</t>
        </is>
      </c>
    </row>
    <row r="26">
      <c r="A26" s="18">
        <f>ImpliedVolatilityRank1y(sym)</f>
        <v/>
      </c>
      <c r="B26" s="8" t="inlineStr">
        <is>
          <t>Position of current IV inside its 1 year range</t>
        </is>
      </c>
    </row>
    <row r="27">
      <c r="A27" s="18">
        <f>ImpliedVolatilityPct1y(sym)</f>
        <v/>
      </c>
      <c r="B27" s="8" t="inlineStr">
        <is>
          <t>Share of the last year spent below current IV</t>
        </is>
      </c>
    </row>
    <row r="28">
      <c r="A28" s="18">
        <f>AverageDailyVolume(sym)</f>
        <v/>
      </c>
      <c r="B28" s="8" t="inlineStr">
        <is>
          <t>Liquidity check before trading any of these names</t>
        </is>
      </c>
    </row>
    <row r="30">
      <c r="A30" s="10" t="inlineStr">
        <is>
          <t>Powered by MarketXLS   |   https://marketxls.com   |   Book a demo: https://marketxls.com/book-demo</t>
        </is>
      </c>
    </row>
  </sheetData>
  <mergeCells count="14">
    <mergeCell ref="A4:H4"/>
    <mergeCell ref="B22:H22"/>
    <mergeCell ref="A21:H21"/>
    <mergeCell ref="A30:H30"/>
    <mergeCell ref="B26:H26"/>
    <mergeCell ref="A15:H15"/>
    <mergeCell ref="B27:H27"/>
    <mergeCell ref="A2:H2"/>
    <mergeCell ref="B24:H24"/>
    <mergeCell ref="A16:H19"/>
    <mergeCell ref="B25:H25"/>
    <mergeCell ref="A1:H1"/>
    <mergeCell ref="B28:H28"/>
    <mergeCell ref="B23:H23"/>
  </mergeCells>
  <conditionalFormatting sqref="F6:F13">
    <cfRule type="colorScale" priority="1">
      <colorScale>
        <cfvo type="num" val="0.5"/>
        <cfvo type="num" val="1"/>
        <cfvo type="num" val="1.5"/>
        <color rgb="00C6E0B4"/>
        <color rgb="00FFFFFF"/>
        <color rgb="00F8CBAD"/>
      </colorScale>
    </cfRule>
  </conditionalFormatting>
  <pageMargins left="0.75" right="0.75" top="1" bottom="1" header="0.5" footer="0.5"/>
</worksheet>
</file>

<file path=xl/worksheets/sheet7.xml><?xml version="1.0" encoding="utf-8"?>
<worksheet xmlns="http://schemas.openxmlformats.org/spreadsheetml/2006/main">
  <sheetPr>
    <tabColor rgb="00003366"/>
    <outlinePr summaryBelow="1" summaryRight="1"/>
    <pageSetUpPr/>
  </sheetPr>
  <dimension ref="A1:I39"/>
  <sheetViews>
    <sheetView showGridLines="0" workbookViewId="0">
      <pane ySplit="5" topLeftCell="A6" activePane="bottomLeft" state="frozen"/>
      <selection pane="bottomLeft" activeCell="A1" sqref="A1"/>
    </sheetView>
  </sheetViews>
  <sheetFormatPr baseColWidth="8" defaultRowHeight="15"/>
  <cols>
    <col width="18"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s>
  <sheetData>
    <row r="1" ht="30" customHeight="1">
      <c r="A1" s="11" t="inlineStr">
        <is>
          <t>Vega Scenarios</t>
        </is>
      </c>
    </row>
    <row r="2" ht="18" customHeight="1">
      <c r="A2" s="12" t="inlineStr">
        <is>
          <t>Value of 5 x NVDA 18 Sep $230 calls across joint moves in price and volatility</t>
        </is>
      </c>
    </row>
    <row r="4" ht="20" customHeight="1">
      <c r="A4" s="6" t="inlineStr">
        <is>
          <t>Position Value If Only Implied Volatility Moves</t>
        </is>
      </c>
    </row>
    <row r="5" ht="30" customHeight="1">
      <c r="A5" s="13" t="inlineStr">
        <is>
          <t>IV change</t>
        </is>
      </c>
      <c r="B5" s="13" t="inlineStr">
        <is>
          <t>Implied vol</t>
        </is>
      </c>
      <c r="C5" s="13" t="inlineStr">
        <is>
          <t>Option value</t>
        </is>
      </c>
      <c r="D5" s="13" t="inlineStr">
        <is>
          <t>Position value</t>
        </is>
      </c>
      <c r="E5" s="13" t="inlineStr">
        <is>
          <t>Profit or loss</t>
        </is>
      </c>
      <c r="F5" s="13" t="inlineStr">
        <is>
          <t>Return</t>
        </is>
      </c>
      <c r="G5" s="13" t="inlineStr"/>
      <c r="H5" s="13" t="inlineStr"/>
      <c r="I5" s="13" t="inlineStr"/>
    </row>
    <row r="6">
      <c r="A6" s="14" t="inlineStr">
        <is>
          <t>-10 vol points</t>
        </is>
      </c>
      <c r="B6" s="49" t="n">
        <v>0.279555476501532</v>
      </c>
      <c r="C6" s="48" t="n">
        <v>5.83406423312573</v>
      </c>
      <c r="D6" s="90" t="n">
        <v>2917.032116562865</v>
      </c>
      <c r="E6" s="91" t="n">
        <v>-1357.967883437134</v>
      </c>
      <c r="F6" s="64" t="n">
        <v>-0.317653306067166</v>
      </c>
      <c r="G6" s="51" t="inlineStr"/>
      <c r="H6" s="51" t="inlineStr"/>
      <c r="I6" s="51" t="inlineStr"/>
    </row>
    <row r="7">
      <c r="A7" s="15" t="inlineStr">
        <is>
          <t>-8 vol points</t>
        </is>
      </c>
      <c r="B7" s="57" t="n">
        <v>0.299555476501532</v>
      </c>
      <c r="C7" s="53" t="n">
        <v>6.374976060733403</v>
      </c>
      <c r="D7" s="92" t="n">
        <v>3187.488030366701</v>
      </c>
      <c r="E7" s="93" t="n">
        <v>-1087.511969633298</v>
      </c>
      <c r="F7" s="63" t="n">
        <v>-0.2543887648265025</v>
      </c>
      <c r="G7" s="56" t="inlineStr"/>
      <c r="H7" s="56" t="inlineStr"/>
      <c r="I7" s="56" t="inlineStr"/>
    </row>
    <row r="8">
      <c r="A8" s="14" t="inlineStr">
        <is>
          <t>-5 vol points</t>
        </is>
      </c>
      <c r="B8" s="49" t="n">
        <v>0.3295554765015321</v>
      </c>
      <c r="C8" s="48" t="n">
        <v>7.188828023969222</v>
      </c>
      <c r="D8" s="90" t="n">
        <v>3594.414011984611</v>
      </c>
      <c r="E8" s="91" t="n">
        <v>-680.585988015388</v>
      </c>
      <c r="F8" s="64" t="n">
        <v>-0.159201400705354</v>
      </c>
      <c r="G8" s="51" t="inlineStr"/>
      <c r="H8" s="51" t="inlineStr"/>
      <c r="I8" s="51" t="inlineStr"/>
    </row>
    <row r="9">
      <c r="A9" s="15" t="inlineStr">
        <is>
          <t>-3 vol points</t>
        </is>
      </c>
      <c r="B9" s="57" t="n">
        <v>0.3495554765015321</v>
      </c>
      <c r="C9" s="53" t="n">
        <v>7.732697330738816</v>
      </c>
      <c r="D9" s="92" t="n">
        <v>3866.348665369408</v>
      </c>
      <c r="E9" s="93" t="n">
        <v>-408.6513346305915</v>
      </c>
      <c r="F9" s="63" t="n">
        <v>-0.09559095546914423</v>
      </c>
      <c r="G9" s="56" t="inlineStr"/>
      <c r="H9" s="56" t="inlineStr"/>
      <c r="I9" s="56" t="inlineStr"/>
    </row>
    <row r="10">
      <c r="A10" s="14" t="inlineStr">
        <is>
          <t>-1 vol points</t>
        </is>
      </c>
      <c r="B10" s="49" t="n">
        <v>0.369555476501532</v>
      </c>
      <c r="C10" s="48" t="n">
        <v>8.277390671402202</v>
      </c>
      <c r="D10" s="90" t="n">
        <v>4138.695335701101</v>
      </c>
      <c r="E10" s="91" t="n">
        <v>-136.3046642988984</v>
      </c>
      <c r="F10" s="64" t="n">
        <v>-0.03188413199974232</v>
      </c>
      <c r="G10" s="51" t="inlineStr"/>
      <c r="H10" s="51" t="inlineStr"/>
      <c r="I10" s="51" t="inlineStr"/>
    </row>
    <row r="11">
      <c r="A11" s="94" t="inlineStr">
        <is>
          <t>+0 vol points</t>
        </is>
      </c>
      <c r="B11" s="74" t="n">
        <v>0.379555476501532</v>
      </c>
      <c r="C11" s="72" t="n">
        <v>8.549999999999997</v>
      </c>
      <c r="D11" s="95" t="n">
        <v>4274.999999999999</v>
      </c>
      <c r="E11" s="96" t="n">
        <v>0</v>
      </c>
      <c r="F11" s="97" t="n">
        <v>0</v>
      </c>
      <c r="G11" s="83" t="inlineStr"/>
      <c r="H11" s="83" t="inlineStr"/>
      <c r="I11" s="83" t="inlineStr"/>
    </row>
    <row r="12">
      <c r="A12" s="14" t="inlineStr">
        <is>
          <t>+1 vol points</t>
        </is>
      </c>
      <c r="B12" s="49" t="n">
        <v>0.389555476501532</v>
      </c>
      <c r="C12" s="48" t="n">
        <v>8.822763349260683</v>
      </c>
      <c r="D12" s="90" t="n">
        <v>4411.381674630342</v>
      </c>
      <c r="E12" s="91" t="n">
        <v>136.3816746303428</v>
      </c>
      <c r="F12" s="64" t="n">
        <v>0.03190214611236089</v>
      </c>
      <c r="G12" s="51" t="inlineStr"/>
      <c r="H12" s="51" t="inlineStr"/>
      <c r="I12" s="51" t="inlineStr"/>
    </row>
    <row r="13">
      <c r="A13" s="15" t="inlineStr">
        <is>
          <t>+3 vol points</t>
        </is>
      </c>
      <c r="B13" s="57" t="n">
        <v>0.409555476501532</v>
      </c>
      <c r="C13" s="53" t="n">
        <v>9.368697661825095</v>
      </c>
      <c r="D13" s="92" t="n">
        <v>4684.348830912548</v>
      </c>
      <c r="E13" s="93" t="n">
        <v>409.3488309125487</v>
      </c>
      <c r="F13" s="63" t="n">
        <v>0.09575411249416346</v>
      </c>
      <c r="G13" s="56" t="inlineStr"/>
      <c r="H13" s="56" t="inlineStr"/>
      <c r="I13" s="56" t="inlineStr"/>
    </row>
    <row r="14">
      <c r="A14" s="14" t="inlineStr">
        <is>
          <t>+5 vol points</t>
        </is>
      </c>
      <c r="B14" s="49" t="n">
        <v>0.429555476501532</v>
      </c>
      <c r="C14" s="48" t="n">
        <v>9.915096687371303</v>
      </c>
      <c r="D14" s="90" t="n">
        <v>4957.548343685652</v>
      </c>
      <c r="E14" s="91" t="n">
        <v>682.548343685653</v>
      </c>
      <c r="F14" s="64" t="n">
        <v>0.1596604312714978</v>
      </c>
      <c r="G14" s="51" t="inlineStr"/>
      <c r="H14" s="51" t="inlineStr"/>
      <c r="I14" s="51" t="inlineStr"/>
    </row>
    <row r="15">
      <c r="A15" s="15" t="inlineStr">
        <is>
          <t>+8 vol points</t>
        </is>
      </c>
      <c r="B15" s="57" t="n">
        <v>0.4595554765015321</v>
      </c>
      <c r="C15" s="53" t="n">
        <v>10.73539356795831</v>
      </c>
      <c r="D15" s="92" t="n">
        <v>5367.696783979156</v>
      </c>
      <c r="E15" s="93" t="n">
        <v>1092.696783979157</v>
      </c>
      <c r="F15" s="63" t="n">
        <v>0.2556015868957093</v>
      </c>
      <c r="G15" s="56" t="inlineStr"/>
      <c r="H15" s="56" t="inlineStr"/>
      <c r="I15" s="56" t="inlineStr"/>
    </row>
    <row r="16">
      <c r="A16" s="14" t="inlineStr">
        <is>
          <t>+10 vol points</t>
        </is>
      </c>
      <c r="B16" s="49" t="n">
        <v>0.4795554765015321</v>
      </c>
      <c r="C16" s="48" t="n">
        <v>11.28262848881336</v>
      </c>
      <c r="D16" s="90" t="n">
        <v>5641.31424440668</v>
      </c>
      <c r="E16" s="91" t="n">
        <v>1366.314244406681</v>
      </c>
      <c r="F16" s="64" t="n">
        <v>0.3196056712062412</v>
      </c>
      <c r="G16" s="51" t="inlineStr"/>
      <c r="H16" s="51" t="inlineStr"/>
      <c r="I16" s="51" t="inlineStr"/>
    </row>
    <row r="18" ht="20" customHeight="1">
      <c r="A18" s="6" t="inlineStr">
        <is>
          <t>Position Value Across Price And Volatility Together</t>
        </is>
      </c>
    </row>
    <row r="19" ht="30" customHeight="1">
      <c r="A19" s="13" t="inlineStr">
        <is>
          <t>Underlying move</t>
        </is>
      </c>
      <c r="B19" s="13" t="inlineStr">
        <is>
          <t>-10 vol pts</t>
        </is>
      </c>
      <c r="C19" s="13" t="inlineStr">
        <is>
          <t>-5 vol pts</t>
        </is>
      </c>
      <c r="D19" s="13" t="inlineStr">
        <is>
          <t>-2 vol pts</t>
        </is>
      </c>
      <c r="E19" s="13" t="inlineStr">
        <is>
          <t>+0 vol pts</t>
        </is>
      </c>
      <c r="F19" s="13" t="inlineStr">
        <is>
          <t>+2 vol pts</t>
        </is>
      </c>
      <c r="G19" s="13" t="inlineStr">
        <is>
          <t>+5 vol pts</t>
        </is>
      </c>
      <c r="H19" s="13" t="inlineStr">
        <is>
          <t>+10 vol pts</t>
        </is>
      </c>
      <c r="I19" s="13" t="inlineStr"/>
    </row>
    <row r="20">
      <c r="A20" s="14" t="inlineStr">
        <is>
          <t>-10%  ($202.64)</t>
        </is>
      </c>
      <c r="B20" s="90" t="n">
        <v>-3972.598179498719</v>
      </c>
      <c r="C20" s="90" t="n">
        <v>-3702.580999468039</v>
      </c>
      <c r="D20" s="90" t="n">
        <v>-3505.733567995379</v>
      </c>
      <c r="E20" s="90" t="n">
        <v>-3362.068537375344</v>
      </c>
      <c r="F20" s="90" t="n">
        <v>-3209.531347826911</v>
      </c>
      <c r="G20" s="90" t="n">
        <v>-2965.903340994871</v>
      </c>
      <c r="H20" s="90" t="n">
        <v>-2526.298324530097</v>
      </c>
      <c r="I20" s="51" t="inlineStr"/>
    </row>
    <row r="21">
      <c r="A21" s="15" t="inlineStr">
        <is>
          <t>-5%  ($213.90)</t>
        </is>
      </c>
      <c r="B21" s="92" t="n">
        <v>-3169.810153195166</v>
      </c>
      <c r="C21" s="92" t="n">
        <v>-2661.714173714206</v>
      </c>
      <c r="D21" s="92" t="n">
        <v>-2337.334966728947</v>
      </c>
      <c r="E21" s="92" t="n">
        <v>-2114.808758581326</v>
      </c>
      <c r="F21" s="92" t="n">
        <v>-1888.047512951001</v>
      </c>
      <c r="G21" s="92" t="n">
        <v>-1541.142597426089</v>
      </c>
      <c r="H21" s="92" t="n">
        <v>-948.4346593449404</v>
      </c>
      <c r="I21" s="56" t="inlineStr"/>
    </row>
    <row r="22">
      <c r="A22" s="14" t="inlineStr">
        <is>
          <t>-2%  ($220.66)</t>
        </is>
      </c>
      <c r="B22" s="90" t="n">
        <v>-2227.929083057213</v>
      </c>
      <c r="C22" s="90" t="n">
        <v>-1600.606957781637</v>
      </c>
      <c r="D22" s="90" t="n">
        <v>-1217.061478759704</v>
      </c>
      <c r="E22" s="90" t="n">
        <v>-959.1547553404571</v>
      </c>
      <c r="F22" s="90" t="n">
        <v>-699.7893098537706</v>
      </c>
      <c r="G22" s="90" t="n">
        <v>-308.4574978701585</v>
      </c>
      <c r="H22" s="90" t="n">
        <v>348.5424170761598</v>
      </c>
      <c r="I22" s="51" t="inlineStr"/>
    </row>
    <row r="23">
      <c r="A23" s="52" t="inlineStr">
        <is>
          <t>+0%  ($225.16)</t>
        </is>
      </c>
      <c r="B23" s="92" t="n">
        <v>-1357.967883437134</v>
      </c>
      <c r="C23" s="92" t="n">
        <v>-680.585988015388</v>
      </c>
      <c r="D23" s="92" t="n">
        <v>-272.5246200892152</v>
      </c>
      <c r="E23" s="96" t="n">
        <v>0</v>
      </c>
      <c r="F23" s="92" t="n">
        <v>272.8333928134816</v>
      </c>
      <c r="G23" s="92" t="n">
        <v>682.548343685653</v>
      </c>
      <c r="H23" s="92" t="n">
        <v>1366.314244406681</v>
      </c>
      <c r="I23" s="56" t="inlineStr"/>
    </row>
    <row r="24">
      <c r="A24" s="14" t="inlineStr">
        <is>
          <t>+2%  ($229.66)</t>
        </is>
      </c>
      <c r="B24" s="90" t="n">
        <v>-281.5366813675487</v>
      </c>
      <c r="C24" s="90" t="n">
        <v>415.8659367758373</v>
      </c>
      <c r="D24" s="90" t="n">
        <v>834.1950111295946</v>
      </c>
      <c r="E24" s="90" t="n">
        <v>1113.027321916248</v>
      </c>
      <c r="F24" s="90" t="n">
        <v>1391.813045994205</v>
      </c>
      <c r="G24" s="90" t="n">
        <v>1809.897794690044</v>
      </c>
      <c r="H24" s="90" t="n">
        <v>2506.431568847644</v>
      </c>
      <c r="I24" s="51" t="inlineStr"/>
    </row>
    <row r="25">
      <c r="A25" s="15" t="inlineStr">
        <is>
          <t>+5%  ($236.42)</t>
        </is>
      </c>
      <c r="B25" s="92" t="n">
        <v>1714.358144566652</v>
      </c>
      <c r="C25" s="92" t="n">
        <v>2384.584155727928</v>
      </c>
      <c r="D25" s="92" t="n">
        <v>2791.489752698176</v>
      </c>
      <c r="E25" s="92" t="n">
        <v>3064.218794176532</v>
      </c>
      <c r="F25" s="92" t="n">
        <v>3337.903902469512</v>
      </c>
      <c r="G25" s="92" t="n">
        <v>3749.917177376027</v>
      </c>
      <c r="H25" s="92" t="n">
        <v>4439.678993516579</v>
      </c>
      <c r="I25" s="56" t="inlineStr"/>
    </row>
    <row r="26">
      <c r="A26" s="14" t="inlineStr">
        <is>
          <t>+10%  ($247.68)</t>
        </is>
      </c>
      <c r="B26" s="90" t="n">
        <v>5921.412786813639</v>
      </c>
      <c r="C26" s="90" t="n">
        <v>6434.105952937677</v>
      </c>
      <c r="D26" s="90" t="n">
        <v>6766.099348774083</v>
      </c>
      <c r="E26" s="90" t="n">
        <v>6995.352937119797</v>
      </c>
      <c r="F26" s="90" t="n">
        <v>7229.989235220907</v>
      </c>
      <c r="G26" s="90" t="n">
        <v>7590.583185357608</v>
      </c>
      <c r="H26" s="90" t="n">
        <v>8210.25082527519</v>
      </c>
      <c r="I26" s="51" t="inlineStr"/>
    </row>
    <row r="28">
      <c r="A28" s="76" t="inlineStr">
        <is>
          <t>Vega on this contract is $0.2727 per share for a one point move in implied volatility, which is $136.34 across five contracts. Read the grid across a row and you see pure volatility exposure. Read it down a column and you see pure price exposure. The corner cases matter most: a position can be right about direction and still lose money if implied volatility collapses at the same time, which is exactly what tends to happen the morning after an earnings release. This table holds time constant. Theta is a separate drain on top of everything shown here.</t>
        </is>
      </c>
    </row>
    <row r="29"/>
    <row r="30"/>
    <row r="32">
      <c r="A32" s="17" t="inlineStr">
        <is>
          <t>MarketXLS Functions Used in This Sheet</t>
        </is>
      </c>
    </row>
    <row r="33">
      <c r="A33" s="18">
        <f>opt_Vega(S,px,exp,type,K,r,q)</f>
        <v/>
      </c>
      <c r="B33" s="8" t="inlineStr">
        <is>
          <t>Vega used to scale every row of the grid</t>
        </is>
      </c>
    </row>
    <row r="34">
      <c r="A34" s="18">
        <f>opt_Delta(S,px,exp,type,K,r,q)</f>
        <v/>
      </c>
      <c r="B34" s="8" t="inlineStr">
        <is>
          <t>Delta, for the price axis of the grid</t>
        </is>
      </c>
    </row>
    <row r="35">
      <c r="A35" s="18">
        <f>opt_Theta(S,px,exp,type,K,r,q)</f>
        <v/>
      </c>
      <c r="B35" s="8" t="inlineStr">
        <is>
          <t>Daily time decay, held constant in this table</t>
        </is>
      </c>
    </row>
    <row r="36">
      <c r="A36" s="18">
        <f>opt_ImpliedVolatility(...)</f>
        <v/>
      </c>
      <c r="B36" s="8" t="inlineStr">
        <is>
          <t>Base volatility the shocks are applied to</t>
        </is>
      </c>
    </row>
    <row r="37">
      <c r="A37" s="18">
        <f>QM_Last(sym)</f>
        <v/>
      </c>
      <c r="B37" s="8" t="inlineStr">
        <is>
          <t>Spot price the percentage moves are applied to</t>
        </is>
      </c>
    </row>
    <row r="39">
      <c r="A39" s="10" t="inlineStr">
        <is>
          <t>Powered by MarketXLS   |   https://marketxls.com   |   Book a demo: https://marketxls.com/book-demo</t>
        </is>
      </c>
    </row>
  </sheetData>
  <mergeCells count="12">
    <mergeCell ref="A28:I30"/>
    <mergeCell ref="A2:I2"/>
    <mergeCell ref="B33:I33"/>
    <mergeCell ref="A32:I32"/>
    <mergeCell ref="B34:I34"/>
    <mergeCell ref="A1:I1"/>
    <mergeCell ref="A18:I18"/>
    <mergeCell ref="B36:I36"/>
    <mergeCell ref="B37:I37"/>
    <mergeCell ref="A39:I39"/>
    <mergeCell ref="A4:I4"/>
    <mergeCell ref="B35:I35"/>
  </mergeCells>
  <conditionalFormatting sqref="B20:H26">
    <cfRule type="colorScale" priority="1">
      <colorScale>
        <cfvo type="min"/>
        <cfvo type="num" val="0"/>
        <cfvo type="max"/>
        <color rgb="00F8CBAD"/>
        <color rgb="00FFFFFF"/>
        <color rgb="00C6E0B4"/>
      </colorScale>
    </cfRule>
  </conditionalFormatting>
  <pageMargins left="0.75" right="0.75" top="1" bottom="1" header="0.5" footer="0.5"/>
</worksheet>
</file>

<file path=xl/worksheets/sheet8.xml><?xml version="1.0" encoding="utf-8"?>
<worksheet xmlns="http://schemas.openxmlformats.org/spreadsheetml/2006/main">
  <sheetPr>
    <tabColor rgb="000066CC"/>
    <outlinePr summaryBelow="1" summaryRight="1"/>
    <pageSetUpPr/>
  </sheetPr>
  <dimension ref="A1:H29"/>
  <sheetViews>
    <sheetView showGridLines="0" workbookViewId="0">
      <selection activeCell="A1" sqref="A1"/>
    </sheetView>
  </sheetViews>
  <sheetFormatPr baseColWidth="8" defaultRowHeight="15"/>
  <cols>
    <col width="30" customWidth="1" min="1" max="1"/>
    <col width="16" customWidth="1" min="2" max="2"/>
    <col width="14" customWidth="1" min="3" max="3"/>
    <col width="14" customWidth="1" min="4" max="4"/>
    <col width="14" customWidth="1" min="5" max="5"/>
    <col width="14" customWidth="1" min="6" max="6"/>
    <col width="14" customWidth="1" min="7" max="7"/>
    <col width="32" customWidth="1" min="8" max="8"/>
  </cols>
  <sheetData>
    <row r="1" ht="30" customHeight="1">
      <c r="A1" s="11" t="inlineStr">
        <is>
          <t>Position Sizing And Vega Budget</t>
        </is>
      </c>
    </row>
    <row r="2" ht="18" customHeight="1">
      <c r="A2" s="12" t="inlineStr">
        <is>
          <t>Type your own account numbers in the yellow cells</t>
        </is>
      </c>
    </row>
    <row r="4" ht="20" customHeight="1">
      <c r="A4" s="6" t="inlineStr">
        <is>
          <t>Your Inputs</t>
        </is>
      </c>
    </row>
    <row r="5">
      <c r="A5" s="19" t="inlineStr">
        <is>
          <t>Account value</t>
        </is>
      </c>
      <c r="B5" s="98" t="n">
        <v>100000</v>
      </c>
      <c r="H5" s="21" t="inlineStr">
        <is>
          <t>Total capital in the account</t>
        </is>
      </c>
    </row>
    <row r="6">
      <c r="A6" s="19" t="inlineStr">
        <is>
          <t>Maximum risk per position</t>
        </is>
      </c>
      <c r="B6" s="99" t="n">
        <v>0.02</v>
      </c>
      <c r="H6" s="21" t="inlineStr">
        <is>
          <t>Share of the account you accept losing on one idea</t>
        </is>
      </c>
    </row>
    <row r="7">
      <c r="A7" s="19" t="inlineStr">
        <is>
          <t>Maximum vega per position</t>
        </is>
      </c>
      <c r="B7" s="99" t="n">
        <v>0.005</v>
      </c>
      <c r="H7" s="21" t="inlineStr">
        <is>
          <t>Share of the account exposed to a one point IV move</t>
        </is>
      </c>
    </row>
    <row r="9" ht="20" customHeight="1">
      <c r="A9" s="6" t="inlineStr">
        <is>
          <t>What That Allows</t>
        </is>
      </c>
    </row>
    <row r="10" ht="30" customHeight="1">
      <c r="A10" s="13" t="inlineStr">
        <is>
          <t>Measure</t>
        </is>
      </c>
      <c r="B10" s="13" t="inlineStr">
        <is>
          <t>Value</t>
        </is>
      </c>
      <c r="C10" s="13" t="inlineStr"/>
      <c r="D10" s="13" t="inlineStr"/>
      <c r="E10" s="13" t="inlineStr"/>
      <c r="F10" s="13" t="inlineStr"/>
      <c r="G10" s="13" t="inlineStr"/>
      <c r="H10" s="13" t="inlineStr">
        <is>
          <t>How it is derived</t>
        </is>
      </c>
    </row>
    <row r="11">
      <c r="A11" s="58" t="inlineStr">
        <is>
          <t>Premium per contract</t>
        </is>
      </c>
      <c r="B11" s="48" t="n">
        <v>855.0000000000001</v>
      </c>
      <c r="C11" s="51" t="inlineStr"/>
      <c r="D11" s="51" t="inlineStr"/>
      <c r="E11" s="51" t="inlineStr"/>
      <c r="F11" s="51" t="inlineStr"/>
      <c r="G11" s="51" t="inlineStr"/>
      <c r="H11" s="36">
        <f>$B$10*100  (mid price times contract multiplier)</f>
        <v/>
      </c>
    </row>
    <row r="12">
      <c r="A12" s="52" t="inlineStr">
        <is>
          <t>Vega per contract, 1 vol point</t>
        </is>
      </c>
      <c r="B12" s="53" t="n">
        <v>27.26887767464253</v>
      </c>
      <c r="C12" s="56" t="inlineStr"/>
      <c r="D12" s="56" t="inlineStr"/>
      <c r="E12" s="56" t="inlineStr"/>
      <c r="F12" s="56" t="inlineStr"/>
      <c r="G12" s="56" t="inlineStr"/>
      <c r="H12" s="44">
        <f>opt_Vega(...)*100</f>
        <v/>
      </c>
    </row>
    <row r="13">
      <c r="A13" s="58" t="inlineStr">
        <is>
          <t>Risk budget in dollars</t>
        </is>
      </c>
      <c r="B13" s="90" t="n">
        <v>2000</v>
      </c>
      <c r="C13" s="51" t="inlineStr"/>
      <c r="D13" s="51" t="inlineStr"/>
      <c r="E13" s="51" t="inlineStr"/>
      <c r="F13" s="51" t="inlineStr"/>
      <c r="G13" s="51" t="inlineStr"/>
      <c r="H13" s="36">
        <f>B5*B6</f>
        <v/>
      </c>
    </row>
    <row r="14">
      <c r="A14" s="52" t="inlineStr">
        <is>
          <t>Vega budget in dollars</t>
        </is>
      </c>
      <c r="B14" s="92" t="n">
        <v>500</v>
      </c>
      <c r="C14" s="56" t="inlineStr"/>
      <c r="D14" s="56" t="inlineStr"/>
      <c r="E14" s="56" t="inlineStr"/>
      <c r="F14" s="56" t="inlineStr"/>
      <c r="G14" s="56" t="inlineStr"/>
      <c r="H14" s="44">
        <f>B5*B7</f>
        <v/>
      </c>
    </row>
    <row r="15">
      <c r="A15" s="58" t="inlineStr">
        <is>
          <t>Contracts allowed by the risk budget</t>
        </is>
      </c>
      <c r="B15" s="30" t="n">
        <v>2</v>
      </c>
      <c r="C15" s="51" t="inlineStr"/>
      <c r="D15" s="51" t="inlineStr"/>
      <c r="E15" s="51" t="inlineStr"/>
      <c r="F15" s="51" t="inlineStr"/>
      <c r="G15" s="51" t="inlineStr"/>
      <c r="H15" s="36" t="inlineStr">
        <is>
          <t>Premium paid is the maximum loss on a long option.</t>
        </is>
      </c>
    </row>
    <row r="16">
      <c r="A16" s="52" t="inlineStr">
        <is>
          <t>Contracts allowed by the vega budget</t>
        </is>
      </c>
      <c r="B16" s="37" t="n">
        <v>18</v>
      </c>
      <c r="C16" s="56" t="inlineStr"/>
      <c r="D16" s="56" t="inlineStr"/>
      <c r="E16" s="56" t="inlineStr"/>
      <c r="F16" s="56" t="inlineStr"/>
      <c r="G16" s="56" t="inlineStr"/>
      <c r="H16" s="44" t="inlineStr">
        <is>
          <t>Vega budget divided by vega per contract.</t>
        </is>
      </c>
    </row>
    <row r="17">
      <c r="A17" s="58" t="inlineStr">
        <is>
          <t>Contracts to trade (the lower of the two)</t>
        </is>
      </c>
      <c r="B17" s="100" t="n">
        <v>2</v>
      </c>
      <c r="C17" s="51" t="inlineStr"/>
      <c r="D17" s="51" t="inlineStr"/>
      <c r="E17" s="51" t="inlineStr"/>
      <c r="F17" s="51" t="inlineStr"/>
      <c r="G17" s="51" t="inlineStr"/>
      <c r="H17" s="36" t="inlineStr">
        <is>
          <t>Take the binding constraint, not the generous one.</t>
        </is>
      </c>
    </row>
    <row r="19">
      <c r="A19" s="76" t="inlineStr">
        <is>
          <t>Two budgets, and the smaller one wins. Sizing on premium alone treats every long option as the same risk, which it is not: a long dated option holds far more vega per dollar of premium than a weekly, so the same premium outlay can carry several times the volatility exposure. Sizing on vega as well makes that exposure explicit. Nothing on this sheet is a recommendation. The percentages are placeholders for your own limits.</t>
        </is>
      </c>
    </row>
    <row r="20"/>
    <row r="21"/>
    <row r="23">
      <c r="A23" s="17" t="inlineStr">
        <is>
          <t>MarketXLS Functions Used in This Sheet</t>
        </is>
      </c>
    </row>
    <row r="24">
      <c r="A24" s="18">
        <f>opt_Vega(S,px,exp,type,K,r,q)</f>
        <v/>
      </c>
      <c r="B24" s="8" t="inlineStr">
        <is>
          <t>Vega per share, scaled to a contract here</t>
        </is>
      </c>
    </row>
    <row r="25">
      <c r="A25" s="18">
        <f>Bid(optSymbol) / =Ask(optSymbol)</f>
        <v/>
      </c>
      <c r="B25" s="8" t="inlineStr">
        <is>
          <t>Quote behind the premium per contract</t>
        </is>
      </c>
    </row>
    <row r="26">
      <c r="A26" s="18">
        <f>AverageDailyVolume(sym)</f>
        <v/>
      </c>
      <c r="B26" s="8" t="inlineStr">
        <is>
          <t>Liquidity sanity check before sizing up</t>
        </is>
      </c>
    </row>
    <row r="27">
      <c r="A27" s="18">
        <f>QM_OpenInterest(optSymbol)</f>
        <v/>
      </c>
      <c r="B27" s="8" t="inlineStr">
        <is>
          <t>Open interest on the specific contract</t>
        </is>
      </c>
    </row>
    <row r="29">
      <c r="A29" s="10" t="inlineStr">
        <is>
          <t>Powered by MarketXLS   |   https://marketxls.com   |   Book a demo: https://marketxls.com/book-demo</t>
        </is>
      </c>
    </row>
  </sheetData>
  <mergeCells count="11">
    <mergeCell ref="A9:H9"/>
    <mergeCell ref="A4:H4"/>
    <mergeCell ref="B26:H26"/>
    <mergeCell ref="B27:H27"/>
    <mergeCell ref="A29:H29"/>
    <mergeCell ref="A19:H21"/>
    <mergeCell ref="A2:H2"/>
    <mergeCell ref="B24:H24"/>
    <mergeCell ref="B25:H25"/>
    <mergeCell ref="A1:H1"/>
    <mergeCell ref="A23:H2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2026-08-15T17:35:16Z</dcterms:created>
  <dcterms:modified xsi:type="dcterms:W3CDTF">2026-08-15T17:35:16Z</dcterms:modified>
</cp:coreProperties>
</file>