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worksheets/sheet5.xml" ContentType="application/vnd.openxmlformats-officedocument.spreadsheetml.worksheet+xml"/>
  <Override PartName="/xl/comments/comment3.xml" ContentType="application/vnd.openxmlformats-officedocument.spreadsheetml.comments+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Main Dashboard" sheetId="2" state="visible" r:id="rId2"/>
    <sheet name="Scenario Analysis" sheetId="3" state="visible" r:id="rId3"/>
    <sheet name="Contract History" sheetId="4" state="visible" r:id="rId4"/>
    <sheet name="Position Sizing" sheetId="5" state="visible" r:id="rId5"/>
    <sheet name="Vol Comparison" sheetId="6" state="visible" r:id="rId6"/>
  </sheets>
  <definedNames/>
  <calcPr calcId="124519" fullCalcOnLoad="1"/>
</workbook>
</file>

<file path=xl/styles.xml><?xml version="1.0" encoding="utf-8"?>
<styleSheet xmlns="http://schemas.openxmlformats.org/spreadsheetml/2006/main">
  <numFmts count="5">
    <numFmt numFmtId="164" formatCode="$#,##0.00"/>
    <numFmt numFmtId="165" formatCode="0.0000"/>
    <numFmt numFmtId="166" formatCode="0.00000"/>
    <numFmt numFmtId="167" formatCode="$#,##0"/>
    <numFmt numFmtId="168" formatCode="0.0%"/>
  </numFmts>
  <fonts count="13">
    <font>
      <name val="Calibri"/>
      <family val="2"/>
      <color theme="1"/>
      <sz val="11"/>
      <scheme val="minor"/>
    </font>
    <font>
      <b val="1"/>
      <color rgb="00FFFFFF"/>
      <sz val="14"/>
    </font>
    <font>
      <b val="1"/>
      <color rgb="00000000"/>
      <sz val="10"/>
    </font>
    <font>
      <sz val="10"/>
    </font>
    <font>
      <b val="1"/>
      <color rgb="00003366"/>
      <sz val="11"/>
    </font>
    <font>
      <b val="1"/>
      <color rgb="00FFFFFF"/>
      <sz val="10"/>
    </font>
    <font>
      <i val="1"/>
      <color rgb="00D62828"/>
      <sz val="10"/>
    </font>
    <font>
      <b val="1"/>
      <color rgb="000066CC"/>
      <sz val="10"/>
    </font>
    <font>
      <i val="1"/>
      <color rgb="006B7280"/>
      <sz val="9"/>
    </font>
    <font>
      <b val="1"/>
      <color rgb="00003366"/>
      <sz val="10"/>
    </font>
    <font>
      <color rgb="00003366"/>
      <sz val="10"/>
    </font>
    <font>
      <color rgb="00D62828"/>
      <sz val="10"/>
    </font>
    <font>
      <color rgb="002A9D8F"/>
      <sz val="10"/>
    </font>
  </fonts>
  <fills count="7">
    <fill>
      <patternFill/>
    </fill>
    <fill>
      <patternFill patternType="gray125"/>
    </fill>
    <fill>
      <patternFill patternType="solid">
        <fgColor rgb="000066CC"/>
      </patternFill>
    </fill>
    <fill>
      <patternFill patternType="solid">
        <fgColor rgb="00F8FAFC"/>
      </patternFill>
    </fill>
    <fill>
      <patternFill patternType="solid">
        <fgColor rgb="00003366"/>
      </patternFill>
    </fill>
    <fill>
      <patternFill patternType="solid">
        <fgColor rgb="00FFFF00"/>
      </patternFill>
    </fill>
    <fill>
      <patternFill patternType="solid">
        <fgColor rgb="00F4F6F8"/>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46">
    <xf numFmtId="0" fontId="0" fillId="0" borderId="0" pivotButton="0" quotePrefix="0" xfId="0"/>
    <xf numFmtId="0" fontId="1" fillId="2" borderId="0" applyAlignment="1" pivotButton="0" quotePrefix="0" xfId="0">
      <alignment horizontal="center" vertical="center" wrapText="1"/>
    </xf>
    <xf numFmtId="0" fontId="2" fillId="0" borderId="1" applyAlignment="1" pivotButton="0" quotePrefix="0" xfId="0">
      <alignment horizontal="left" vertical="center" wrapText="1"/>
    </xf>
    <xf numFmtId="0" fontId="3" fillId="0" borderId="1" applyAlignment="1" pivotButton="0" quotePrefix="0" xfId="0">
      <alignment horizontal="left" vertical="center" wrapText="1"/>
    </xf>
    <xf numFmtId="0" fontId="4" fillId="3" borderId="0" applyAlignment="1" pivotButton="0" quotePrefix="0" xfId="0">
      <alignment horizontal="left" vertical="center" wrapText="1"/>
    </xf>
    <xf numFmtId="0" fontId="5" fillId="4" borderId="1" applyAlignment="1" pivotButton="0" quotePrefix="0" xfId="0">
      <alignment horizontal="center" vertical="center" wrapText="1"/>
    </xf>
    <xf numFmtId="0" fontId="6" fillId="0" borderId="1" applyAlignment="1" pivotButton="0" quotePrefix="0" xfId="0">
      <alignment horizontal="left" vertical="center" wrapText="1"/>
    </xf>
    <xf numFmtId="0" fontId="7" fillId="0" borderId="1" applyAlignment="1" pivotButton="0" quotePrefix="0" xfId="0">
      <alignment horizontal="left" vertical="center" wrapText="1"/>
    </xf>
    <xf numFmtId="0" fontId="8" fillId="0" borderId="0" applyAlignment="1" pivotButton="0" quotePrefix="0" xfId="0">
      <alignment horizontal="center" vertical="center" wrapText="1"/>
    </xf>
    <xf numFmtId="0" fontId="2" fillId="5" borderId="2" applyAlignment="1" pivotButton="0" quotePrefix="0" xfId="0">
      <alignment horizontal="center" vertical="center" wrapText="1"/>
    </xf>
    <xf numFmtId="2" fontId="2" fillId="5" borderId="2" applyAlignment="1" pivotButton="0" quotePrefix="0" xfId="0">
      <alignment horizontal="center" vertical="center" wrapText="1"/>
    </xf>
    <xf numFmtId="10" fontId="2" fillId="5" borderId="2" applyAlignment="1" pivotButton="0" quotePrefix="0" xfId="0">
      <alignment horizontal="center" vertical="center" wrapText="1"/>
    </xf>
    <xf numFmtId="0" fontId="9" fillId="0" borderId="1" applyAlignment="1" pivotButton="0" quotePrefix="0" xfId="0">
      <alignment horizontal="center" vertical="center" wrapText="1"/>
    </xf>
    <xf numFmtId="164" fontId="10" fillId="0" borderId="1" applyAlignment="1" pivotButton="0" quotePrefix="0" xfId="0">
      <alignment horizontal="center" vertical="center" wrapText="1"/>
    </xf>
    <xf numFmtId="3" fontId="10" fillId="0" borderId="1" applyAlignment="1" pivotButton="0" quotePrefix="0" xfId="0">
      <alignment horizontal="center" vertical="center" wrapText="1"/>
    </xf>
    <xf numFmtId="1" fontId="10" fillId="0" borderId="1" applyAlignment="1" pivotButton="0" quotePrefix="0" xfId="0">
      <alignment horizontal="center" vertical="center" wrapText="1"/>
    </xf>
    <xf numFmtId="10" fontId="10" fillId="0" borderId="1" applyAlignment="1" pivotButton="0" quotePrefix="0" xfId="0">
      <alignment horizontal="center" vertical="center" wrapText="1"/>
    </xf>
    <xf numFmtId="2" fontId="10" fillId="0" borderId="1" applyAlignment="1" pivotButton="0" quotePrefix="0" xfId="0">
      <alignment horizontal="center" vertical="center" wrapText="1"/>
    </xf>
    <xf numFmtId="165" fontId="10" fillId="0" borderId="1" applyAlignment="1" pivotButton="0" quotePrefix="0" xfId="0">
      <alignment horizontal="center" vertical="center" wrapText="1"/>
    </xf>
    <xf numFmtId="164" fontId="3" fillId="0" borderId="1" applyAlignment="1" pivotButton="0" quotePrefix="0" xfId="0">
      <alignment horizontal="center" vertical="center" wrapText="1"/>
    </xf>
    <xf numFmtId="0" fontId="3" fillId="0" borderId="1" applyAlignment="1" pivotButton="0" quotePrefix="0" xfId="0">
      <alignment horizontal="center" vertical="center" wrapText="1"/>
    </xf>
    <xf numFmtId="0" fontId="10" fillId="0" borderId="1" applyAlignment="1" pivotButton="0" quotePrefix="0" xfId="0">
      <alignment horizontal="center" vertical="center" wrapText="1"/>
    </xf>
    <xf numFmtId="164" fontId="3" fillId="6" borderId="1" applyAlignment="1" pivotButton="0" quotePrefix="0" xfId="0">
      <alignment horizontal="center" vertical="center" wrapText="1"/>
    </xf>
    <xf numFmtId="0" fontId="3" fillId="6" borderId="1" applyAlignment="1" pivotButton="0" quotePrefix="0" xfId="0">
      <alignment horizontal="center" vertical="center" wrapText="1"/>
    </xf>
    <xf numFmtId="164" fontId="10" fillId="6" borderId="1" applyAlignment="1" pivotButton="0" quotePrefix="0" xfId="0">
      <alignment horizontal="center" vertical="center" wrapText="1"/>
    </xf>
    <xf numFmtId="3" fontId="10" fillId="6" borderId="1" applyAlignment="1" pivotButton="0" quotePrefix="0" xfId="0">
      <alignment horizontal="center" vertical="center" wrapText="1"/>
    </xf>
    <xf numFmtId="10" fontId="10" fillId="6" borderId="1" applyAlignment="1" pivotButton="0" quotePrefix="0" xfId="0">
      <alignment horizontal="center" vertical="center" wrapText="1"/>
    </xf>
    <xf numFmtId="0" fontId="10" fillId="6" borderId="1" applyAlignment="1" pivotButton="0" quotePrefix="0" xfId="0">
      <alignment horizontal="center" vertical="center" wrapText="1"/>
    </xf>
    <xf numFmtId="0" fontId="9" fillId="0" borderId="1" applyAlignment="1" pivotButton="0" quotePrefix="0" xfId="0">
      <alignment horizontal="left" vertical="center" wrapText="1"/>
    </xf>
    <xf numFmtId="10" fontId="3" fillId="0" borderId="1" applyAlignment="1" pivotButton="0" quotePrefix="0" xfId="0">
      <alignment horizontal="center" vertical="center" wrapText="1"/>
    </xf>
    <xf numFmtId="1" fontId="2" fillId="5" borderId="2" applyAlignment="1" pivotButton="0" quotePrefix="0" xfId="0">
      <alignment horizontal="center" vertical="center" wrapText="1"/>
    </xf>
    <xf numFmtId="164" fontId="2" fillId="0" borderId="1" applyAlignment="1" pivotButton="0" quotePrefix="0" xfId="0">
      <alignment horizontal="center" vertical="center" wrapText="1"/>
    </xf>
    <xf numFmtId="1" fontId="3" fillId="0" borderId="1" applyAlignment="1" pivotButton="0" quotePrefix="0" xfId="0">
      <alignment horizontal="center" vertical="center" wrapText="1"/>
    </xf>
    <xf numFmtId="166" fontId="10" fillId="0" borderId="1" applyAlignment="1" pivotButton="0" quotePrefix="0" xfId="0">
      <alignment horizontal="center" vertical="center" wrapText="1"/>
    </xf>
    <xf numFmtId="1" fontId="3" fillId="6" borderId="1" applyAlignment="1" pivotButton="0" quotePrefix="0" xfId="0">
      <alignment horizontal="center" vertical="center" wrapText="1"/>
    </xf>
    <xf numFmtId="165" fontId="10" fillId="6" borderId="1" applyAlignment="1" pivotButton="0" quotePrefix="0" xfId="0">
      <alignment horizontal="center" vertical="center" wrapText="1"/>
    </xf>
    <xf numFmtId="166" fontId="10" fillId="6" borderId="1" applyAlignment="1" pivotButton="0" quotePrefix="0" xfId="0">
      <alignment horizontal="center" vertical="center" wrapText="1"/>
    </xf>
    <xf numFmtId="167" fontId="2" fillId="5" borderId="2" applyAlignment="1" pivotButton="0" quotePrefix="0" xfId="0">
      <alignment horizontal="center" vertical="center" wrapText="1"/>
    </xf>
    <xf numFmtId="168" fontId="2" fillId="5" borderId="2" applyAlignment="1" pivotButton="0" quotePrefix="0" xfId="0">
      <alignment horizontal="center" vertical="center" wrapText="1"/>
    </xf>
    <xf numFmtId="3" fontId="3" fillId="0" borderId="1" applyAlignment="1" pivotButton="0" quotePrefix="0" xfId="0">
      <alignment horizontal="center" vertical="center" wrapText="1"/>
    </xf>
    <xf numFmtId="168" fontId="2" fillId="0" borderId="1" applyAlignment="1" pivotButton="0" quotePrefix="0" xfId="0">
      <alignment horizontal="center" vertical="center" wrapText="1"/>
    </xf>
    <xf numFmtId="10" fontId="11" fillId="0" borderId="1" applyAlignment="1" pivotButton="0" quotePrefix="0" xfId="0">
      <alignment horizontal="center" vertical="center" wrapText="1"/>
    </xf>
    <xf numFmtId="10" fontId="3" fillId="6" borderId="1" applyAlignment="1" pivotButton="0" quotePrefix="0" xfId="0">
      <alignment horizontal="center" vertical="center" wrapText="1"/>
    </xf>
    <xf numFmtId="10" fontId="12" fillId="6" borderId="1" applyAlignment="1" pivotButton="0" quotePrefix="0" xfId="0">
      <alignment horizontal="center" vertical="center" wrapText="1"/>
    </xf>
    <xf numFmtId="10" fontId="11" fillId="6" borderId="1" applyAlignment="1" pivotButton="0" quotePrefix="0" xfId="0">
      <alignment horizontal="center" vertical="center" wrapText="1"/>
    </xf>
    <xf numFmtId="10" fontId="12"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comments/comment1.xml><?xml version="1.0" encoding="utf-8"?>
<comments xmlns="http://schemas.openxmlformats.org/spreadsheetml/2006/main">
  <authors>
    <author>MarketXLS</author>
  </authors>
  <commentList>
    <comment ref="B3" authorId="0" shapeId="0">
      <text>
        <t>Input cell. Change this and the workbook re-prices.</t>
      </text>
    </comment>
    <comment ref="B4" authorId="0" shapeId="0">
      <text>
        <t>Input cell. Change this and the workbook re-prices.</t>
      </text>
    </comment>
    <comment ref="B5" authorId="0" shapeId="0">
      <text>
        <t>Input cell. Change this and the workbook re-prices.</t>
      </text>
    </comment>
    <comment ref="B6" authorId="0" shapeId="0">
      <text>
        <t>Input cell. Change this and the workbook re-prices.</t>
      </text>
    </comment>
    <comment ref="B7" authorId="0" shapeId="0">
      <text>
        <t>Input cell. Change this and the workbook re-prices.</t>
      </text>
    </comment>
    <comment ref="B8" authorId="0" shapeId="0">
      <text>
        <t>Input cell. Change this and the workbook re-prices.</t>
      </text>
    </comment>
  </commentList>
</comments>
</file>

<file path=xl/comments/comment2.xml><?xml version="1.0" encoding="utf-8"?>
<comments xmlns="http://schemas.openxmlformats.org/spreadsheetml/2006/main">
  <authors>
    <author>MarketXLS</author>
  </authors>
  <commentList>
    <comment ref="B5" authorId="0" shapeId="0">
      <text>
        <t>Input cell. Days remaining in the scenario.</t>
      </text>
    </comment>
  </commentList>
</comments>
</file>

<file path=xl/comments/comment3.xml><?xml version="1.0" encoding="utf-8"?>
<comments xmlns="http://schemas.openxmlformats.org/spreadsheetml/2006/main">
  <authors>
    <author>MarketXLS</author>
  </authors>
  <commentList>
    <comment ref="B3" authorId="0" shapeId="0">
      <text>
        <t>Input cell.</t>
      </text>
    </comment>
    <comment ref="B4" authorId="0" shapeId="0">
      <text>
        <t>Input cell. Share of the account at risk.</t>
      </text>
    </comment>
    <comment ref="B5" authorId="0" shapeId="0">
      <text>
        <t>Input cell. Shares per contract.</t>
      </text>
    </comment>
    <comment ref="B11" authorId="0" shapeId="0">
      <text>
        <t>Assumes the whole premium can be lost. That is the case for a long option held to expiry out of the money.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3.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_rels/sheet5.xml.rels><Relationships xmlns="http://schemas.openxmlformats.org/package/2006/relationships"><Relationship Type="http://schemas.openxmlformats.org/officeDocument/2006/relationships/comments" Target="/xl/comments/comment3.xml" Id="comments" /><Relationship Type="http://schemas.openxmlformats.org/officeDocument/2006/relationships/vmlDrawing" Target="/xl/drawings/commentsDrawing3.vml" Id="anysvml" /></Relationships>
</file>

<file path=xl/worksheets/sheet1.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34" customWidth="1" min="1" max="1"/>
    <col width="78" customWidth="1" min="2" max="2"/>
    <col width="14" customWidth="1" min="3" max="3"/>
    <col width="14" customWidth="1" min="4" max="4"/>
    <col width="14" customWidth="1" min="5" max="5"/>
    <col width="14" customWidth="1" min="6" max="6"/>
  </cols>
  <sheetData>
    <row r="1" ht="26" customHeight="1">
      <c r="A1" s="1" t="inlineStr">
        <is>
          <t>HISTORICAL OPTIONS DATA - HOW TO USE</t>
        </is>
      </c>
    </row>
    <row r="2">
      <c r="A2" s="2" t="inlineStr">
        <is>
          <t>Workbook version</t>
        </is>
      </c>
      <c r="B2" s="3" t="inlineStr">
        <is>
          <t>TEMPLATE (live MarketXLS formulas)</t>
        </is>
      </c>
    </row>
    <row r="3">
      <c r="A3" s="2" t="inlineStr">
        <is>
          <t>Underlying studied</t>
        </is>
      </c>
      <c r="B3" s="3" t="inlineStr">
        <is>
          <t>AAPL, 2026-09-18 expiry</t>
        </is>
      </c>
    </row>
    <row r="4">
      <c r="A4" s="2" t="inlineStr">
        <is>
          <t>Data as of</t>
        </is>
      </c>
      <c r="B4" s="3" t="inlineStr">
        <is>
          <t>2026-08-14</t>
        </is>
      </c>
    </row>
    <row r="6">
      <c r="A6" s="4" t="inlineStr">
        <is>
          <t>What each sheet does</t>
        </is>
      </c>
    </row>
    <row r="7">
      <c r="A7" s="5" t="inlineStr">
        <is>
          <t>Sheet</t>
        </is>
      </c>
      <c r="B7" s="5" t="inlineStr">
        <is>
          <t>Purpose</t>
        </is>
      </c>
      <c r="C7" s="5" t="inlineStr"/>
      <c r="D7" s="5" t="inlineStr"/>
      <c r="E7" s="5" t="inlineStr"/>
      <c r="F7" s="5" t="inlineStr"/>
    </row>
    <row r="8" ht="44" customHeight="1">
      <c r="A8" s="2" t="inlineStr">
        <is>
          <t>Main Dashboard</t>
        </is>
      </c>
      <c r="B8" s="3" t="inlineStr">
        <is>
          <t>Set the underlying, the as-of date, the expiry and the strike in the yellow input cells. Every other sheet reads those four cells. The chain table shows each strike with its bid, ask, volume, open interest and implied volatility.</t>
        </is>
      </c>
    </row>
    <row r="9" ht="44" customHeight="1">
      <c r="A9" s="2" t="inlineStr">
        <is>
          <t>Scenario Analysis</t>
        </is>
      </c>
      <c r="B9" s="3" t="inlineStr">
        <is>
          <t>A spot by implied volatility grid for the focus contract. It answers what the contract would be worth if the underlying moves and the volatility input re-prices at the same time.</t>
        </is>
      </c>
    </row>
    <row r="10" ht="44" customHeight="1">
      <c r="A10" s="2" t="inlineStr">
        <is>
          <t>Contract History</t>
        </is>
      </c>
      <c r="B10" s="3" t="inlineStr">
        <is>
          <t>One contract tracked week by week. Price, delta, gamma, vega and theta on each historical date, so you can see how the Greeks drifted as expiry approached.</t>
        </is>
      </c>
    </row>
    <row r="11" ht="44" customHeight="1">
      <c r="A11" s="2" t="inlineStr">
        <is>
          <t>Position Sizing</t>
        </is>
      </c>
      <c r="B11" s="3" t="inlineStr">
        <is>
          <t>Turns an account size and a risk percentage into a contract count. The dollar risk figures flow from the input cells on the Main Dashboard.</t>
        </is>
      </c>
    </row>
    <row r="12" ht="44" customHeight="1">
      <c r="A12" s="2" t="inlineStr">
        <is>
          <t>Vol Comparison</t>
        </is>
      </c>
      <c r="B12" s="3" t="inlineStr">
        <is>
          <t>Month-end realized volatility over two years, on 10-day and 30-day windows, next to the volatility realized over the following 30 days.</t>
        </is>
      </c>
    </row>
    <row r="14">
      <c r="A14" s="4" t="inlineStr">
        <is>
          <t>How the numbers are produced</t>
        </is>
      </c>
    </row>
    <row r="15" ht="32" customHeight="1">
      <c r="A15" s="3" t="inlineStr">
        <is>
          <t>Every data cell is a MarketXLS formula. Change the yellow inputs and the whole workbook re-prices from recorded market data.</t>
        </is>
      </c>
    </row>
    <row r="16" ht="32" customHeight="1">
      <c r="A16" s="3" t="inlineStr">
        <is>
          <t>OPT_HistoricalOptionChain returns the full recorded chain for one date. It spills down and across, so leave room below and to the right of it.</t>
        </is>
      </c>
    </row>
    <row r="17" ht="32" customHeight="1">
      <c r="A17" s="3" t="inlineStr">
        <is>
          <t>The historical Greek functions read the value recorded on that date. They do not re-model it, so they reflect what the option market actually showed.</t>
        </is>
      </c>
    </row>
    <row r="18" ht="32" customHeight="1">
      <c r="A18" s="3" t="inlineStr">
        <is>
          <t>Option contract symbols come from OptionSymbol. Note the two spaces between the ticker and the date inside the returned symbol.</t>
        </is>
      </c>
    </row>
    <row r="20">
      <c r="A20" s="4" t="inlineStr">
        <is>
          <t>Educational use only</t>
        </is>
      </c>
    </row>
    <row r="21" ht="40" customHeight="1">
      <c r="A21" s="6" t="inlineStr">
        <is>
          <t>This workbook is an analysis tool for education. It is not investment advice and it does not recommend any position. Options carry risk of total loss of the premium paid, and short options can lose more than the premium received.</t>
        </is>
      </c>
    </row>
    <row r="23">
      <c r="A23" s="7" t="inlineStr">
        <is>
          <t>MarketXLS</t>
        </is>
      </c>
      <c r="B23" s="3" t="inlineStr">
        <is>
          <t>https://marketxls.com</t>
        </is>
      </c>
    </row>
    <row r="24">
      <c r="A24" s="7" t="inlineStr">
        <is>
          <t>Book a demo</t>
        </is>
      </c>
      <c r="B24" s="3" t="inlineStr">
        <is>
          <t>https://marketxls.com/book-demo</t>
        </is>
      </c>
    </row>
    <row r="26">
      <c r="A26" s="4" t="inlineStr">
        <is>
          <t>MarketXLS Functions Used in This Sheet</t>
        </is>
      </c>
    </row>
    <row r="27">
      <c r="A27" s="7" t="inlineStr">
        <is>
          <t>OPT_HistoricalOptionChain(Underlying, OnDate)</t>
        </is>
      </c>
      <c r="B27" s="3" t="inlineStr">
        <is>
          <t>Recorded option chain for one date</t>
        </is>
      </c>
    </row>
    <row r="28">
      <c r="A28" s="7" t="inlineStr">
        <is>
          <t>OptionSymbol(Symbol, ExpirationDate, CallOrPut, Strike)</t>
        </is>
      </c>
      <c r="B28" s="3" t="inlineStr">
        <is>
          <t>Builds the contract symbol</t>
        </is>
      </c>
    </row>
    <row r="29">
      <c r="A29" s="7" t="inlineStr">
        <is>
          <t>Close_Historical(Symbol, Date)</t>
        </is>
      </c>
      <c r="B29" s="3" t="inlineStr">
        <is>
          <t>Underlying close on a past date</t>
        </is>
      </c>
    </row>
    <row r="31">
      <c r="A31" s="8" t="inlineStr">
        <is>
          <t>Powered by MarketXLS   |   https://marketxls.com   |   Book a demo: https://marketxls.com/book-demo</t>
        </is>
      </c>
    </row>
  </sheetData>
  <mergeCells count="19">
    <mergeCell ref="A16:F16"/>
    <mergeCell ref="A18:F18"/>
    <mergeCell ref="A26:F26"/>
    <mergeCell ref="A21:F21"/>
    <mergeCell ref="B27:F27"/>
    <mergeCell ref="B12:F12"/>
    <mergeCell ref="A14:F14"/>
    <mergeCell ref="B11:F11"/>
    <mergeCell ref="A17:F17"/>
    <mergeCell ref="B8:F8"/>
    <mergeCell ref="A20:F20"/>
    <mergeCell ref="B29:F29"/>
    <mergeCell ref="B10:F10"/>
    <mergeCell ref="B28:F28"/>
    <mergeCell ref="A31:F31"/>
    <mergeCell ref="A15:F15"/>
    <mergeCell ref="B9:F9"/>
    <mergeCell ref="A1:F1"/>
    <mergeCell ref="A6:F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61"/>
  <sheetViews>
    <sheetView workbookViewId="0">
      <selection activeCell="A1" sqref="A1"/>
    </sheetView>
  </sheetViews>
  <sheetFormatPr baseColWidth="8" defaultRowHeight="15"/>
  <cols>
    <col width="26" customWidth="1" min="1" max="1"/>
    <col width="17" customWidth="1" min="2" max="2"/>
    <col width="13" customWidth="1" min="3" max="3"/>
    <col width="12" customWidth="1" min="4" max="4"/>
    <col width="12" customWidth="1" min="5" max="5"/>
    <col width="12" customWidth="1" min="6" max="6"/>
    <col width="13" customWidth="1" min="7" max="7"/>
    <col width="13" customWidth="1" min="8" max="8"/>
    <col width="13" customWidth="1" min="9" max="9"/>
    <col width="15" customWidth="1" min="10" max="10"/>
    <col width="15" customWidth="1" min="11" max="11"/>
  </cols>
  <sheetData>
    <row r="1" ht="26" customHeight="1">
      <c r="A1" s="1" t="inlineStr">
        <is>
          <t>HISTORICAL OPTIONS DATA - MAIN DASHBOARD</t>
        </is>
      </c>
    </row>
    <row r="2">
      <c r="A2" s="4" t="inlineStr">
        <is>
          <t>Inputs (yellow cells drive every sheet)</t>
        </is>
      </c>
    </row>
    <row r="3">
      <c r="A3" s="2" t="inlineStr">
        <is>
          <t>Underlying symbol</t>
        </is>
      </c>
      <c r="B3" s="9" t="inlineStr">
        <is>
          <t>AAPL</t>
        </is>
      </c>
    </row>
    <row r="4">
      <c r="A4" s="2" t="inlineStr">
        <is>
          <t>As-of date (YYYY-MM-DD)</t>
        </is>
      </c>
      <c r="B4" s="9" t="inlineStr">
        <is>
          <t>2026-08-14</t>
        </is>
      </c>
    </row>
    <row r="5">
      <c r="A5" s="2" t="inlineStr">
        <is>
          <t>Expiry date (YYYY-MM-DD)</t>
        </is>
      </c>
      <c r="B5" s="9" t="inlineStr">
        <is>
          <t>2026-09-18</t>
        </is>
      </c>
    </row>
    <row r="6">
      <c r="A6" s="2" t="inlineStr">
        <is>
          <t>Focus strike</t>
        </is>
      </c>
      <c r="B6" s="10" t="n">
        <v>310</v>
      </c>
    </row>
    <row r="7">
      <c r="A7" s="2" t="inlineStr">
        <is>
          <t>Risk-free rate</t>
        </is>
      </c>
      <c r="B7" s="11" t="n">
        <v>0.04</v>
      </c>
    </row>
    <row r="8">
      <c r="A8" s="2" t="inlineStr">
        <is>
          <t>Dividend yield</t>
        </is>
      </c>
      <c r="B8" s="11" t="n">
        <v>0.0034</v>
      </c>
    </row>
    <row r="9">
      <c r="A9" s="2" t="inlineStr">
        <is>
          <t>Focus contract symbol</t>
        </is>
      </c>
      <c r="B9" s="12">
        <f>OptionSymbol($B$3,$B$5,"Call",$B$6)</f>
        <v/>
      </c>
    </row>
    <row r="11">
      <c r="A11" s="4" t="inlineStr">
        <is>
          <t>Recorded snapshot for the as-of date</t>
        </is>
      </c>
    </row>
    <row r="12">
      <c r="A12" s="2" t="inlineStr">
        <is>
          <t>Underlying close</t>
        </is>
      </c>
      <c r="B12" s="13">
        <f>Close_Historical($B$3,$B$4)</f>
        <v/>
      </c>
    </row>
    <row r="13">
      <c r="A13" s="2" t="inlineStr">
        <is>
          <t>Underlying volume</t>
        </is>
      </c>
      <c r="B13" s="14">
        <f>Volume_Historical($B$3,$B$4)</f>
        <v/>
      </c>
    </row>
    <row r="14">
      <c r="A14" s="2" t="inlineStr">
        <is>
          <t>Days to expiration</t>
        </is>
      </c>
      <c r="B14" s="15">
        <f>OPT_DaysToExpiration($B$9)</f>
        <v/>
      </c>
    </row>
    <row r="15">
      <c r="A15" s="2" t="inlineStr">
        <is>
          <t>At-the-money implied vol</t>
        </is>
      </c>
      <c r="B15" s="16">
        <f>OPT_ImpliedVolatilityHistorical($B$9,$B$4)</f>
        <v/>
      </c>
    </row>
    <row r="16">
      <c r="A16" s="2" t="inlineStr">
        <is>
          <t>Trailing 30d realized vol</t>
        </is>
      </c>
      <c r="B16" s="16">
        <f>StockVolatilityThirtyDays($B$3)</f>
        <v/>
      </c>
    </row>
    <row r="17">
      <c r="A17" s="2" t="inlineStr">
        <is>
          <t>Trailing 15d realized vol</t>
        </is>
      </c>
      <c r="B17" s="16">
        <f>StockVolatilityFifteenDays($B$3)</f>
        <v/>
      </c>
    </row>
    <row r="18">
      <c r="A18" s="2" t="inlineStr">
        <is>
          <t>Realized minus implied</t>
        </is>
      </c>
      <c r="B18" s="16">
        <f>B16-B15</f>
        <v/>
      </c>
    </row>
    <row r="19">
      <c r="A19" s="2" t="inlineStr">
        <is>
          <t>Implied vol rank (1y)</t>
        </is>
      </c>
      <c r="B19" s="17">
        <f>ImpliedVolatilityRank1y($B$3)</f>
        <v/>
      </c>
    </row>
    <row r="20">
      <c r="A20" s="2" t="inlineStr">
        <is>
          <t>Put/call volume ratio</t>
        </is>
      </c>
      <c r="B20" s="18">
        <f>OPT_PutCallVolRatioHistorical($B$3,$B$4)</f>
        <v/>
      </c>
    </row>
    <row r="21">
      <c r="A21" s="2" t="inlineStr">
        <is>
          <t>Put/call open interest ratio</t>
        </is>
      </c>
      <c r="B21" s="18">
        <f>OPT_PutCallOIRatioHistorical($B$3,$B$4)</f>
        <v/>
      </c>
    </row>
    <row r="22">
      <c r="A22" s="2" t="inlineStr">
        <is>
          <t>Total call volume</t>
        </is>
      </c>
      <c r="B22" s="14">
        <f>OPT_TotalVolumeOptionsHistorical($B$3,$B$4,"Call")</f>
        <v/>
      </c>
    </row>
    <row r="23">
      <c r="A23" s="2" t="inlineStr">
        <is>
          <t>Total put volume</t>
        </is>
      </c>
      <c r="B23" s="14">
        <f>OPT_TotalVolumeOptionsHistorical($B$3,$B$4,"Put")</f>
        <v/>
      </c>
    </row>
    <row r="24">
      <c r="A24" s="2" t="inlineStr">
        <is>
          <t>Total call open interest</t>
        </is>
      </c>
      <c r="B24" s="14">
        <f>OPT_TotalOpenInterestOptionsHistorical($B$3,$B$4,"Call")</f>
        <v/>
      </c>
    </row>
    <row r="25">
      <c r="A25" s="2" t="inlineStr">
        <is>
          <t>Total put open interest</t>
        </is>
      </c>
      <c r="B25" s="14">
        <f>OPT_TotalOpenInterestOptionsHistorical($B$3,$B$4,"Put")</f>
        <v/>
      </c>
    </row>
    <row r="26">
      <c r="A26" s="2" t="inlineStr">
        <is>
          <t>Max pain strike</t>
        </is>
      </c>
      <c r="B26" s="13">
        <f>OPT_MaxPain($B$3,$B$5)</f>
        <v/>
      </c>
    </row>
    <row r="28">
      <c r="A28" s="4" t="inlineStr">
        <is>
          <t>Option chain recorded on 2026-08-14 (template: OPT_HistoricalOptionChain)</t>
        </is>
      </c>
    </row>
    <row r="29">
      <c r="A29" s="5" t="inlineStr">
        <is>
          <t>Strike</t>
        </is>
      </c>
      <c r="B29" s="5" t="inlineStr">
        <is>
          <t>Type</t>
        </is>
      </c>
      <c r="C29" s="5" t="inlineStr">
        <is>
          <t>Bid</t>
        </is>
      </c>
      <c r="D29" s="5" t="inlineStr">
        <is>
          <t>Ask</t>
        </is>
      </c>
      <c r="E29" s="5" t="inlineStr">
        <is>
          <t>Mid</t>
        </is>
      </c>
      <c r="F29" s="5" t="inlineStr">
        <is>
          <t>Last</t>
        </is>
      </c>
      <c r="G29" s="5" t="inlineStr">
        <is>
          <t>Volume</t>
        </is>
      </c>
      <c r="H29" s="5" t="inlineStr">
        <is>
          <t>Open Int</t>
        </is>
      </c>
      <c r="I29" s="5" t="inlineStr">
        <is>
          <t>Implied Vol</t>
        </is>
      </c>
      <c r="J29" s="5" t="inlineStr">
        <is>
          <t>Moneyness</t>
        </is>
      </c>
      <c r="K29" s="5" t="inlineStr">
        <is>
          <t>Time Value</t>
        </is>
      </c>
    </row>
    <row r="30">
      <c r="A30" s="19" t="n">
        <v>290</v>
      </c>
      <c r="B30" s="20" t="inlineStr">
        <is>
          <t>Call</t>
        </is>
      </c>
      <c r="C30" s="13">
        <f>OPT_Bid(OptionSymbol($B$3,$B$5,"Call",A30))</f>
        <v/>
      </c>
      <c r="D30" s="13">
        <f>OPT_Ask(OptionSymbol($B$3,$B$5,"Call",A30))</f>
        <v/>
      </c>
      <c r="E30" s="19">
        <f>(C30+D30)/2</f>
        <v/>
      </c>
      <c r="F30" s="13">
        <f>OPT_Last(OptionSymbol($B$3,$B$5,"Call",A30))</f>
        <v/>
      </c>
      <c r="G30" s="14">
        <f>OPT_Volume(OptionSymbol($B$3,$B$5,"Call",A30))</f>
        <v/>
      </c>
      <c r="H30" s="14">
        <f>OPT_OpenInterest(OptionSymbol($B$3,$B$5,"Call",A30))</f>
        <v/>
      </c>
      <c r="I30" s="16">
        <f>OPT_ImpliedVolatilityHistorical(OptionSymbol($B$3,$B$5,"Call",A30),$B$4)</f>
        <v/>
      </c>
      <c r="J30" s="21">
        <f>OPT_Moneyness(OptionSymbol($B$3,$B$5,"Call",A30),$B$12)</f>
        <v/>
      </c>
      <c r="K30" s="13">
        <f>OPT_TimeValue(OptionSymbol($B$3,$B$5,"Call",A30),E30,$B$12)</f>
        <v/>
      </c>
    </row>
    <row r="31">
      <c r="A31" s="22" t="n">
        <v>295</v>
      </c>
      <c r="B31" s="23" t="inlineStr">
        <is>
          <t>Call</t>
        </is>
      </c>
      <c r="C31" s="24">
        <f>OPT_Bid(OptionSymbol($B$3,$B$5,"Call",A31))</f>
        <v/>
      </c>
      <c r="D31" s="24">
        <f>OPT_Ask(OptionSymbol($B$3,$B$5,"Call",A31))</f>
        <v/>
      </c>
      <c r="E31" s="22">
        <f>(C31+D31)/2</f>
        <v/>
      </c>
      <c r="F31" s="24">
        <f>OPT_Last(OptionSymbol($B$3,$B$5,"Call",A31))</f>
        <v/>
      </c>
      <c r="G31" s="25">
        <f>OPT_Volume(OptionSymbol($B$3,$B$5,"Call",A31))</f>
        <v/>
      </c>
      <c r="H31" s="25">
        <f>OPT_OpenInterest(OptionSymbol($B$3,$B$5,"Call",A31))</f>
        <v/>
      </c>
      <c r="I31" s="26">
        <f>OPT_ImpliedVolatilityHistorical(OptionSymbol($B$3,$B$5,"Call",A31),$B$4)</f>
        <v/>
      </c>
      <c r="J31" s="27">
        <f>OPT_Moneyness(OptionSymbol($B$3,$B$5,"Call",A31),$B$12)</f>
        <v/>
      </c>
      <c r="K31" s="24">
        <f>OPT_TimeValue(OptionSymbol($B$3,$B$5,"Call",A31),E31,$B$12)</f>
        <v/>
      </c>
    </row>
    <row r="32">
      <c r="A32" s="19" t="n">
        <v>300</v>
      </c>
      <c r="B32" s="20" t="inlineStr">
        <is>
          <t>Call</t>
        </is>
      </c>
      <c r="C32" s="13">
        <f>OPT_Bid(OptionSymbol($B$3,$B$5,"Call",A32))</f>
        <v/>
      </c>
      <c r="D32" s="13">
        <f>OPT_Ask(OptionSymbol($B$3,$B$5,"Call",A32))</f>
        <v/>
      </c>
      <c r="E32" s="19">
        <f>(C32+D32)/2</f>
        <v/>
      </c>
      <c r="F32" s="13">
        <f>OPT_Last(OptionSymbol($B$3,$B$5,"Call",A32))</f>
        <v/>
      </c>
      <c r="G32" s="14">
        <f>OPT_Volume(OptionSymbol($B$3,$B$5,"Call",A32))</f>
        <v/>
      </c>
      <c r="H32" s="14">
        <f>OPT_OpenInterest(OptionSymbol($B$3,$B$5,"Call",A32))</f>
        <v/>
      </c>
      <c r="I32" s="16">
        <f>OPT_ImpliedVolatilityHistorical(OptionSymbol($B$3,$B$5,"Call",A32),$B$4)</f>
        <v/>
      </c>
      <c r="J32" s="21">
        <f>OPT_Moneyness(OptionSymbol($B$3,$B$5,"Call",A32),$B$12)</f>
        <v/>
      </c>
      <c r="K32" s="13">
        <f>OPT_TimeValue(OptionSymbol($B$3,$B$5,"Call",A32),E32,$B$12)</f>
        <v/>
      </c>
    </row>
    <row r="33">
      <c r="A33" s="22" t="n">
        <v>305</v>
      </c>
      <c r="B33" s="23" t="inlineStr">
        <is>
          <t>Call</t>
        </is>
      </c>
      <c r="C33" s="24">
        <f>OPT_Bid(OptionSymbol($B$3,$B$5,"Call",A33))</f>
        <v/>
      </c>
      <c r="D33" s="24">
        <f>OPT_Ask(OptionSymbol($B$3,$B$5,"Call",A33))</f>
        <v/>
      </c>
      <c r="E33" s="22">
        <f>(C33+D33)/2</f>
        <v/>
      </c>
      <c r="F33" s="24">
        <f>OPT_Last(OptionSymbol($B$3,$B$5,"Call",A33))</f>
        <v/>
      </c>
      <c r="G33" s="25">
        <f>OPT_Volume(OptionSymbol($B$3,$B$5,"Call",A33))</f>
        <v/>
      </c>
      <c r="H33" s="25">
        <f>OPT_OpenInterest(OptionSymbol($B$3,$B$5,"Call",A33))</f>
        <v/>
      </c>
      <c r="I33" s="26">
        <f>OPT_ImpliedVolatilityHistorical(OptionSymbol($B$3,$B$5,"Call",A33),$B$4)</f>
        <v/>
      </c>
      <c r="J33" s="27">
        <f>OPT_Moneyness(OptionSymbol($B$3,$B$5,"Call",A33),$B$12)</f>
        <v/>
      </c>
      <c r="K33" s="24">
        <f>OPT_TimeValue(OptionSymbol($B$3,$B$5,"Call",A33),E33,$B$12)</f>
        <v/>
      </c>
    </row>
    <row r="34">
      <c r="A34" s="19" t="n">
        <v>310</v>
      </c>
      <c r="B34" s="20" t="inlineStr">
        <is>
          <t>Call</t>
        </is>
      </c>
      <c r="C34" s="13">
        <f>OPT_Bid(OptionSymbol($B$3,$B$5,"Call",A34))</f>
        <v/>
      </c>
      <c r="D34" s="13">
        <f>OPT_Ask(OptionSymbol($B$3,$B$5,"Call",A34))</f>
        <v/>
      </c>
      <c r="E34" s="19">
        <f>(C34+D34)/2</f>
        <v/>
      </c>
      <c r="F34" s="13">
        <f>OPT_Last(OptionSymbol($B$3,$B$5,"Call",A34))</f>
        <v/>
      </c>
      <c r="G34" s="14">
        <f>OPT_Volume(OptionSymbol($B$3,$B$5,"Call",A34))</f>
        <v/>
      </c>
      <c r="H34" s="14">
        <f>OPT_OpenInterest(OptionSymbol($B$3,$B$5,"Call",A34))</f>
        <v/>
      </c>
      <c r="I34" s="16">
        <f>OPT_ImpliedVolatilityHistorical(OptionSymbol($B$3,$B$5,"Call",A34),$B$4)</f>
        <v/>
      </c>
      <c r="J34" s="21">
        <f>OPT_Moneyness(OptionSymbol($B$3,$B$5,"Call",A34),$B$12)</f>
        <v/>
      </c>
      <c r="K34" s="13">
        <f>OPT_TimeValue(OptionSymbol($B$3,$B$5,"Call",A34),E34,$B$12)</f>
        <v/>
      </c>
    </row>
    <row r="35">
      <c r="A35" s="22" t="n">
        <v>315</v>
      </c>
      <c r="B35" s="23" t="inlineStr">
        <is>
          <t>Call</t>
        </is>
      </c>
      <c r="C35" s="24">
        <f>OPT_Bid(OptionSymbol($B$3,$B$5,"Call",A35))</f>
        <v/>
      </c>
      <c r="D35" s="24">
        <f>OPT_Ask(OptionSymbol($B$3,$B$5,"Call",A35))</f>
        <v/>
      </c>
      <c r="E35" s="22">
        <f>(C35+D35)/2</f>
        <v/>
      </c>
      <c r="F35" s="24">
        <f>OPT_Last(OptionSymbol($B$3,$B$5,"Call",A35))</f>
        <v/>
      </c>
      <c r="G35" s="25">
        <f>OPT_Volume(OptionSymbol($B$3,$B$5,"Call",A35))</f>
        <v/>
      </c>
      <c r="H35" s="25">
        <f>OPT_OpenInterest(OptionSymbol($B$3,$B$5,"Call",A35))</f>
        <v/>
      </c>
      <c r="I35" s="26">
        <f>OPT_ImpliedVolatilityHistorical(OptionSymbol($B$3,$B$5,"Call",A35),$B$4)</f>
        <v/>
      </c>
      <c r="J35" s="27">
        <f>OPT_Moneyness(OptionSymbol($B$3,$B$5,"Call",A35),$B$12)</f>
        <v/>
      </c>
      <c r="K35" s="24">
        <f>OPT_TimeValue(OptionSymbol($B$3,$B$5,"Call",A35),E35,$B$12)</f>
        <v/>
      </c>
    </row>
    <row r="36">
      <c r="A36" s="19" t="n">
        <v>320</v>
      </c>
      <c r="B36" s="20" t="inlineStr">
        <is>
          <t>Call</t>
        </is>
      </c>
      <c r="C36" s="13">
        <f>OPT_Bid(OptionSymbol($B$3,$B$5,"Call",A36))</f>
        <v/>
      </c>
      <c r="D36" s="13">
        <f>OPT_Ask(OptionSymbol($B$3,$B$5,"Call",A36))</f>
        <v/>
      </c>
      <c r="E36" s="19">
        <f>(C36+D36)/2</f>
        <v/>
      </c>
      <c r="F36" s="13">
        <f>OPT_Last(OptionSymbol($B$3,$B$5,"Call",A36))</f>
        <v/>
      </c>
      <c r="G36" s="14">
        <f>OPT_Volume(OptionSymbol($B$3,$B$5,"Call",A36))</f>
        <v/>
      </c>
      <c r="H36" s="14">
        <f>OPT_OpenInterest(OptionSymbol($B$3,$B$5,"Call",A36))</f>
        <v/>
      </c>
      <c r="I36" s="16">
        <f>OPT_ImpliedVolatilityHistorical(OptionSymbol($B$3,$B$5,"Call",A36),$B$4)</f>
        <v/>
      </c>
      <c r="J36" s="21">
        <f>OPT_Moneyness(OptionSymbol($B$3,$B$5,"Call",A36),$B$12)</f>
        <v/>
      </c>
      <c r="K36" s="13">
        <f>OPT_TimeValue(OptionSymbol($B$3,$B$5,"Call",A36),E36,$B$12)</f>
        <v/>
      </c>
    </row>
    <row r="37">
      <c r="A37" s="22" t="n">
        <v>290</v>
      </c>
      <c r="B37" s="23" t="inlineStr">
        <is>
          <t>Put</t>
        </is>
      </c>
      <c r="C37" s="24">
        <f>OPT_Bid(OptionSymbol($B$3,$B$5,"Put",A37))</f>
        <v/>
      </c>
      <c r="D37" s="24">
        <f>OPT_Ask(OptionSymbol($B$3,$B$5,"Put",A37))</f>
        <v/>
      </c>
      <c r="E37" s="22">
        <f>(C37+D37)/2</f>
        <v/>
      </c>
      <c r="F37" s="24">
        <f>OPT_Last(OptionSymbol($B$3,$B$5,"Put",A37))</f>
        <v/>
      </c>
      <c r="G37" s="25">
        <f>OPT_Volume(OptionSymbol($B$3,$B$5,"Put",A37))</f>
        <v/>
      </c>
      <c r="H37" s="25">
        <f>OPT_OpenInterest(OptionSymbol($B$3,$B$5,"Put",A37))</f>
        <v/>
      </c>
      <c r="I37" s="26">
        <f>OPT_ImpliedVolatilityHistorical(OptionSymbol($B$3,$B$5,"Put",A37),$B$4)</f>
        <v/>
      </c>
      <c r="J37" s="27">
        <f>OPT_Moneyness(OptionSymbol($B$3,$B$5,"Put",A37),$B$12)</f>
        <v/>
      </c>
      <c r="K37" s="24">
        <f>OPT_TimeValue(OptionSymbol($B$3,$B$5,"Put",A37),E37,$B$12)</f>
        <v/>
      </c>
    </row>
    <row r="38">
      <c r="A38" s="19" t="n">
        <v>295</v>
      </c>
      <c r="B38" s="20" t="inlineStr">
        <is>
          <t>Put</t>
        </is>
      </c>
      <c r="C38" s="13">
        <f>OPT_Bid(OptionSymbol($B$3,$B$5,"Put",A38))</f>
        <v/>
      </c>
      <c r="D38" s="13">
        <f>OPT_Ask(OptionSymbol($B$3,$B$5,"Put",A38))</f>
        <v/>
      </c>
      <c r="E38" s="19">
        <f>(C38+D38)/2</f>
        <v/>
      </c>
      <c r="F38" s="13">
        <f>OPT_Last(OptionSymbol($B$3,$B$5,"Put",A38))</f>
        <v/>
      </c>
      <c r="G38" s="14">
        <f>OPT_Volume(OptionSymbol($B$3,$B$5,"Put",A38))</f>
        <v/>
      </c>
      <c r="H38" s="14">
        <f>OPT_OpenInterest(OptionSymbol($B$3,$B$5,"Put",A38))</f>
        <v/>
      </c>
      <c r="I38" s="16">
        <f>OPT_ImpliedVolatilityHistorical(OptionSymbol($B$3,$B$5,"Put",A38),$B$4)</f>
        <v/>
      </c>
      <c r="J38" s="21">
        <f>OPT_Moneyness(OptionSymbol($B$3,$B$5,"Put",A38),$B$12)</f>
        <v/>
      </c>
      <c r="K38" s="13">
        <f>OPT_TimeValue(OptionSymbol($B$3,$B$5,"Put",A38),E38,$B$12)</f>
        <v/>
      </c>
    </row>
    <row r="39">
      <c r="A39" s="22" t="n">
        <v>300</v>
      </c>
      <c r="B39" s="23" t="inlineStr">
        <is>
          <t>Put</t>
        </is>
      </c>
      <c r="C39" s="24">
        <f>OPT_Bid(OptionSymbol($B$3,$B$5,"Put",A39))</f>
        <v/>
      </c>
      <c r="D39" s="24">
        <f>OPT_Ask(OptionSymbol($B$3,$B$5,"Put",A39))</f>
        <v/>
      </c>
      <c r="E39" s="22">
        <f>(C39+D39)/2</f>
        <v/>
      </c>
      <c r="F39" s="24">
        <f>OPT_Last(OptionSymbol($B$3,$B$5,"Put",A39))</f>
        <v/>
      </c>
      <c r="G39" s="25">
        <f>OPT_Volume(OptionSymbol($B$3,$B$5,"Put",A39))</f>
        <v/>
      </c>
      <c r="H39" s="25">
        <f>OPT_OpenInterest(OptionSymbol($B$3,$B$5,"Put",A39))</f>
        <v/>
      </c>
      <c r="I39" s="26">
        <f>OPT_ImpliedVolatilityHistorical(OptionSymbol($B$3,$B$5,"Put",A39),$B$4)</f>
        <v/>
      </c>
      <c r="J39" s="27">
        <f>OPT_Moneyness(OptionSymbol($B$3,$B$5,"Put",A39),$B$12)</f>
        <v/>
      </c>
      <c r="K39" s="24">
        <f>OPT_TimeValue(OptionSymbol($B$3,$B$5,"Put",A39),E39,$B$12)</f>
        <v/>
      </c>
    </row>
    <row r="40">
      <c r="A40" s="19" t="n">
        <v>305</v>
      </c>
      <c r="B40" s="20" t="inlineStr">
        <is>
          <t>Put</t>
        </is>
      </c>
      <c r="C40" s="13">
        <f>OPT_Bid(OptionSymbol($B$3,$B$5,"Put",A40))</f>
        <v/>
      </c>
      <c r="D40" s="13">
        <f>OPT_Ask(OptionSymbol($B$3,$B$5,"Put",A40))</f>
        <v/>
      </c>
      <c r="E40" s="19">
        <f>(C40+D40)/2</f>
        <v/>
      </c>
      <c r="F40" s="13">
        <f>OPT_Last(OptionSymbol($B$3,$B$5,"Put",A40))</f>
        <v/>
      </c>
      <c r="G40" s="14">
        <f>OPT_Volume(OptionSymbol($B$3,$B$5,"Put",A40))</f>
        <v/>
      </c>
      <c r="H40" s="14">
        <f>OPT_OpenInterest(OptionSymbol($B$3,$B$5,"Put",A40))</f>
        <v/>
      </c>
      <c r="I40" s="16">
        <f>OPT_ImpliedVolatilityHistorical(OptionSymbol($B$3,$B$5,"Put",A40),$B$4)</f>
        <v/>
      </c>
      <c r="J40" s="21">
        <f>OPT_Moneyness(OptionSymbol($B$3,$B$5,"Put",A40),$B$12)</f>
        <v/>
      </c>
      <c r="K40" s="13">
        <f>OPT_TimeValue(OptionSymbol($B$3,$B$5,"Put",A40),E40,$B$12)</f>
        <v/>
      </c>
    </row>
    <row r="41">
      <c r="A41" s="22" t="n">
        <v>310</v>
      </c>
      <c r="B41" s="23" t="inlineStr">
        <is>
          <t>Put</t>
        </is>
      </c>
      <c r="C41" s="24">
        <f>OPT_Bid(OptionSymbol($B$3,$B$5,"Put",A41))</f>
        <v/>
      </c>
      <c r="D41" s="24">
        <f>OPT_Ask(OptionSymbol($B$3,$B$5,"Put",A41))</f>
        <v/>
      </c>
      <c r="E41" s="22">
        <f>(C41+D41)/2</f>
        <v/>
      </c>
      <c r="F41" s="24">
        <f>OPT_Last(OptionSymbol($B$3,$B$5,"Put",A41))</f>
        <v/>
      </c>
      <c r="G41" s="25">
        <f>OPT_Volume(OptionSymbol($B$3,$B$5,"Put",A41))</f>
        <v/>
      </c>
      <c r="H41" s="25">
        <f>OPT_OpenInterest(OptionSymbol($B$3,$B$5,"Put",A41))</f>
        <v/>
      </c>
      <c r="I41" s="26">
        <f>OPT_ImpliedVolatilityHistorical(OptionSymbol($B$3,$B$5,"Put",A41),$B$4)</f>
        <v/>
      </c>
      <c r="J41" s="27">
        <f>OPT_Moneyness(OptionSymbol($B$3,$B$5,"Put",A41),$B$12)</f>
        <v/>
      </c>
      <c r="K41" s="24">
        <f>OPT_TimeValue(OptionSymbol($B$3,$B$5,"Put",A41),E41,$B$12)</f>
        <v/>
      </c>
    </row>
    <row r="42">
      <c r="A42" s="19" t="n">
        <v>315</v>
      </c>
      <c r="B42" s="20" t="inlineStr">
        <is>
          <t>Put</t>
        </is>
      </c>
      <c r="C42" s="13">
        <f>OPT_Bid(OptionSymbol($B$3,$B$5,"Put",A42))</f>
        <v/>
      </c>
      <c r="D42" s="13">
        <f>OPT_Ask(OptionSymbol($B$3,$B$5,"Put",A42))</f>
        <v/>
      </c>
      <c r="E42" s="19">
        <f>(C42+D42)/2</f>
        <v/>
      </c>
      <c r="F42" s="13">
        <f>OPT_Last(OptionSymbol($B$3,$B$5,"Put",A42))</f>
        <v/>
      </c>
      <c r="G42" s="14">
        <f>OPT_Volume(OptionSymbol($B$3,$B$5,"Put",A42))</f>
        <v/>
      </c>
      <c r="H42" s="14">
        <f>OPT_OpenInterest(OptionSymbol($B$3,$B$5,"Put",A42))</f>
        <v/>
      </c>
      <c r="I42" s="16">
        <f>OPT_ImpliedVolatilityHistorical(OptionSymbol($B$3,$B$5,"Put",A42),$B$4)</f>
        <v/>
      </c>
      <c r="J42" s="21">
        <f>OPT_Moneyness(OptionSymbol($B$3,$B$5,"Put",A42),$B$12)</f>
        <v/>
      </c>
      <c r="K42" s="13">
        <f>OPT_TimeValue(OptionSymbol($B$3,$B$5,"Put",A42),E42,$B$12)</f>
        <v/>
      </c>
    </row>
    <row r="43">
      <c r="A43" s="22" t="n">
        <v>320</v>
      </c>
      <c r="B43" s="23" t="inlineStr">
        <is>
          <t>Put</t>
        </is>
      </c>
      <c r="C43" s="24">
        <f>OPT_Bid(OptionSymbol($B$3,$B$5,"Put",A43))</f>
        <v/>
      </c>
      <c r="D43" s="24">
        <f>OPT_Ask(OptionSymbol($B$3,$B$5,"Put",A43))</f>
        <v/>
      </c>
      <c r="E43" s="22">
        <f>(C43+D43)/2</f>
        <v/>
      </c>
      <c r="F43" s="24">
        <f>OPT_Last(OptionSymbol($B$3,$B$5,"Put",A43))</f>
        <v/>
      </c>
      <c r="G43" s="25">
        <f>OPT_Volume(OptionSymbol($B$3,$B$5,"Put",A43))</f>
        <v/>
      </c>
      <c r="H43" s="25">
        <f>OPT_OpenInterest(OptionSymbol($B$3,$B$5,"Put",A43))</f>
        <v/>
      </c>
      <c r="I43" s="26">
        <f>OPT_ImpliedVolatilityHistorical(OptionSymbol($B$3,$B$5,"Put",A43),$B$4)</f>
        <v/>
      </c>
      <c r="J43" s="27">
        <f>OPT_Moneyness(OptionSymbol($B$3,$B$5,"Put",A43),$B$12)</f>
        <v/>
      </c>
      <c r="K43" s="24">
        <f>OPT_TimeValue(OptionSymbol($B$3,$B$5,"Put",A43),E43,$B$12)</f>
        <v/>
      </c>
    </row>
    <row r="45">
      <c r="A45" s="4" t="inlineStr">
        <is>
          <t>Reading the chain</t>
        </is>
      </c>
    </row>
    <row r="46">
      <c r="A46" s="3" t="inlineStr">
        <is>
          <t>Implied volatility falls as the strike rises across the calls and rises as the strike falls across the puts. That asymmetry is the equity skew. Downside protection carries a higher volatility charge than upside participation.</t>
        </is>
      </c>
    </row>
    <row r="47"/>
    <row r="49">
      <c r="A49" s="4" t="inlineStr">
        <is>
          <t>MarketXLS Functions Used in This Sheet</t>
        </is>
      </c>
    </row>
    <row r="50">
      <c r="A50" s="7" t="inlineStr">
        <is>
          <t>OPT_HistoricalOptionChain(Underlying, OnDate)</t>
        </is>
      </c>
      <c r="B50" s="3" t="inlineStr">
        <is>
          <t>Full recorded chain for one date</t>
        </is>
      </c>
    </row>
    <row r="51">
      <c r="A51" s="7" t="inlineStr">
        <is>
          <t>OptionSymbol(Symbol, ExpiryDate, CallOrPut, Strike)</t>
        </is>
      </c>
      <c r="B51" s="3" t="inlineStr">
        <is>
          <t>Builds the contract symbol</t>
        </is>
      </c>
    </row>
    <row r="52">
      <c r="A52" s="7" t="inlineStr">
        <is>
          <t>OPT_Bid(optionSymbol) / OPT_Ask(optionSymbol)</t>
        </is>
      </c>
      <c r="B52" s="3" t="inlineStr">
        <is>
          <t>Quoted bid and ask for a contract</t>
        </is>
      </c>
    </row>
    <row r="53">
      <c r="A53" s="7" t="inlineStr">
        <is>
          <t>OPT_ImpliedVolatilityHistorical(Symbol, OnDate)</t>
        </is>
      </c>
      <c r="B53" s="3" t="inlineStr">
        <is>
          <t>Implied volatility recorded on a date</t>
        </is>
      </c>
    </row>
    <row r="54">
      <c r="A54" s="7" t="inlineStr">
        <is>
          <t>OPT_PutCallVolRatioHistorical(Underlying, OnDate)</t>
        </is>
      </c>
      <c r="B54" s="3" t="inlineStr">
        <is>
          <t>Put/call volume ratio on a date</t>
        </is>
      </c>
    </row>
    <row r="55">
      <c r="A55" s="7" t="inlineStr">
        <is>
          <t>OPT_PutCallOIRatioHistorical(Underlying, OnDate)</t>
        </is>
      </c>
      <c r="B55" s="3" t="inlineStr">
        <is>
          <t>Put/call open interest ratio on a date</t>
        </is>
      </c>
    </row>
    <row r="56">
      <c r="A56" s="7" t="inlineStr">
        <is>
          <t>OPT_TotalVolumeOptionsHistorical(Underlying, PastDate, Direction)</t>
        </is>
      </c>
      <c r="B56" s="3" t="inlineStr">
        <is>
          <t>Total option volume on a date</t>
        </is>
      </c>
    </row>
    <row r="57">
      <c r="A57" s="7" t="inlineStr">
        <is>
          <t>Close_Historical(Symbol, Date)</t>
        </is>
      </c>
      <c r="B57" s="3" t="inlineStr">
        <is>
          <t>Underlying close on a past date</t>
        </is>
      </c>
    </row>
    <row r="58">
      <c r="A58" s="7" t="inlineStr">
        <is>
          <t>OPT_MaxPain(symbol, expirationDate)</t>
        </is>
      </c>
      <c r="B58" s="3" t="inlineStr">
        <is>
          <t>Max pain strike for an expiry</t>
        </is>
      </c>
    </row>
    <row r="59">
      <c r="A59" s="7" t="inlineStr">
        <is>
          <t>StockVolatilityThirtyDays(Symbol)</t>
        </is>
      </c>
      <c r="B59" s="3" t="inlineStr">
        <is>
          <t>Trailing 30-day realized volatility</t>
        </is>
      </c>
    </row>
    <row r="61">
      <c r="A61" s="8" t="inlineStr">
        <is>
          <t>Powered by MarketXLS   |   https://marketxls.com   |   Book a demo: https://marketxls.com/book-demo</t>
        </is>
      </c>
    </row>
  </sheetData>
  <mergeCells count="18">
    <mergeCell ref="A61:K61"/>
    <mergeCell ref="B54:K54"/>
    <mergeCell ref="B57:K57"/>
    <mergeCell ref="B50:K50"/>
    <mergeCell ref="A46:K47"/>
    <mergeCell ref="B56:K56"/>
    <mergeCell ref="B58:K58"/>
    <mergeCell ref="B52:K52"/>
    <mergeCell ref="B53:K53"/>
    <mergeCell ref="A2:K2"/>
    <mergeCell ref="A11:K11"/>
    <mergeCell ref="A1:K1"/>
    <mergeCell ref="A49:K49"/>
    <mergeCell ref="A28:K28"/>
    <mergeCell ref="B55:K55"/>
    <mergeCell ref="B51:K51"/>
    <mergeCell ref="A45:K45"/>
    <mergeCell ref="B59:K59"/>
  </mergeCell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width="30" customWidth="1" min="1" max="1"/>
    <col width="15" customWidth="1" min="2" max="2"/>
    <col width="15" customWidth="1" min="3" max="3"/>
    <col width="15" customWidth="1" min="4" max="4"/>
    <col width="15" customWidth="1" min="5" max="5"/>
    <col width="15" customWidth="1" min="6" max="6"/>
    <col width="15" customWidth="1" min="7" max="7"/>
    <col width="15" customWidth="1" min="8" max="8"/>
  </cols>
  <sheetData>
    <row r="1" ht="26" customHeight="1">
      <c r="A1" s="1" t="inlineStr">
        <is>
          <t>SCENARIO ANALYSIS - SPOT BY IMPLIED VOLATILITY</t>
        </is>
      </c>
    </row>
    <row r="2">
      <c r="A2" s="2" t="inlineStr">
        <is>
          <t>Focus contract</t>
        </is>
      </c>
      <c r="B2" s="28" t="inlineStr">
        <is>
          <t>AAPL 2026-09-18 310 Call</t>
        </is>
      </c>
    </row>
    <row r="3">
      <c r="A3" s="2" t="inlineStr">
        <is>
          <t>Recorded mid</t>
        </is>
      </c>
      <c r="B3" s="19" t="n">
        <v>7.1</v>
      </c>
    </row>
    <row r="4">
      <c r="A4" s="2" t="inlineStr">
        <is>
          <t>Implied vol at that mid</t>
        </is>
      </c>
      <c r="B4" s="29" t="n">
        <v>0.2242</v>
      </c>
    </row>
    <row r="5">
      <c r="A5" s="2" t="inlineStr">
        <is>
          <t>Days to expiration</t>
        </is>
      </c>
      <c r="B5" s="30" t="n">
        <v>35</v>
      </c>
    </row>
    <row r="7">
      <c r="A7" s="4" t="inlineStr">
        <is>
          <t>Contract value across spot and implied volatility</t>
        </is>
      </c>
    </row>
    <row r="8">
      <c r="A8" s="5" t="inlineStr">
        <is>
          <t>Underlying price</t>
        </is>
      </c>
      <c r="B8" s="5" t="inlineStr">
        <is>
          <t>IV 14.4%</t>
        </is>
      </c>
      <c r="C8" s="5" t="inlineStr">
        <is>
          <t>IV 18.4%</t>
        </is>
      </c>
      <c r="D8" s="5" t="inlineStr">
        <is>
          <t>IV 22.4%</t>
        </is>
      </c>
      <c r="E8" s="5" t="inlineStr">
        <is>
          <t>IV 26.4%</t>
        </is>
      </c>
      <c r="F8" s="5" t="inlineStr">
        <is>
          <t>IV 30.4%</t>
        </is>
      </c>
      <c r="G8" s="5" t="inlineStr"/>
      <c r="H8" s="5" t="inlineStr"/>
    </row>
    <row r="9">
      <c r="A9" s="31" t="n">
        <v>275.34</v>
      </c>
      <c r="B9" s="13">
        <f>BlackScholesOptionValueWithUserInputs(A9,310.0,"Call",'Main Dashboard'!$B$5,'Main Dashboard'!$B$7,'Main Dashboard'!$B$8,0.1442)</f>
        <v/>
      </c>
      <c r="C9" s="13">
        <f>BlackScholesOptionValueWithUserInputs(A9,310.0,"Call",'Main Dashboard'!$B$5,'Main Dashboard'!$B$7,'Main Dashboard'!$B$8,0.1842)</f>
        <v/>
      </c>
      <c r="D9" s="13">
        <f>BlackScholesOptionValueWithUserInputs(A9,310.0,"Call",'Main Dashboard'!$B$5,'Main Dashboard'!$B$7,'Main Dashboard'!$B$8,0.2242)</f>
        <v/>
      </c>
      <c r="E9" s="13">
        <f>BlackScholesOptionValueWithUserInputs(A9,310.0,"Call",'Main Dashboard'!$B$5,'Main Dashboard'!$B$7,'Main Dashboard'!$B$8,0.2642)</f>
        <v/>
      </c>
      <c r="F9" s="13">
        <f>BlackScholesOptionValueWithUserInputs(A9,310.0,"Call",'Main Dashboard'!$B$5,'Main Dashboard'!$B$7,'Main Dashboard'!$B$8,0.3042)</f>
        <v/>
      </c>
    </row>
    <row r="10">
      <c r="A10" s="31" t="n">
        <v>290.63</v>
      </c>
      <c r="B10" s="13">
        <f>BlackScholesOptionValueWithUserInputs(A10,310.0,"Call",'Main Dashboard'!$B$5,'Main Dashboard'!$B$7,'Main Dashboard'!$B$8,0.1442)</f>
        <v/>
      </c>
      <c r="C10" s="13">
        <f>BlackScholesOptionValueWithUserInputs(A10,310.0,"Call",'Main Dashboard'!$B$5,'Main Dashboard'!$B$7,'Main Dashboard'!$B$8,0.1842)</f>
        <v/>
      </c>
      <c r="D10" s="13">
        <f>BlackScholesOptionValueWithUserInputs(A10,310.0,"Call",'Main Dashboard'!$B$5,'Main Dashboard'!$B$7,'Main Dashboard'!$B$8,0.2242)</f>
        <v/>
      </c>
      <c r="E10" s="13">
        <f>BlackScholesOptionValueWithUserInputs(A10,310.0,"Call",'Main Dashboard'!$B$5,'Main Dashboard'!$B$7,'Main Dashboard'!$B$8,0.2642)</f>
        <v/>
      </c>
      <c r="F10" s="13">
        <f>BlackScholesOptionValueWithUserInputs(A10,310.0,"Call",'Main Dashboard'!$B$5,'Main Dashboard'!$B$7,'Main Dashboard'!$B$8,0.3042)</f>
        <v/>
      </c>
    </row>
    <row r="11">
      <c r="A11" s="31" t="n">
        <v>305.93</v>
      </c>
      <c r="B11" s="13">
        <f>BlackScholesOptionValueWithUserInputs(A11,310.0,"Call",'Main Dashboard'!$B$5,'Main Dashboard'!$B$7,'Main Dashboard'!$B$8,0.1442)</f>
        <v/>
      </c>
      <c r="C11" s="13">
        <f>BlackScholesOptionValueWithUserInputs(A11,310.0,"Call",'Main Dashboard'!$B$5,'Main Dashboard'!$B$7,'Main Dashboard'!$B$8,0.1842)</f>
        <v/>
      </c>
      <c r="D11" s="13">
        <f>BlackScholesOptionValueWithUserInputs(A11,310.0,"Call",'Main Dashboard'!$B$5,'Main Dashboard'!$B$7,'Main Dashboard'!$B$8,0.2242)</f>
        <v/>
      </c>
      <c r="E11" s="13">
        <f>BlackScholesOptionValueWithUserInputs(A11,310.0,"Call",'Main Dashboard'!$B$5,'Main Dashboard'!$B$7,'Main Dashboard'!$B$8,0.2642)</f>
        <v/>
      </c>
      <c r="F11" s="13">
        <f>BlackScholesOptionValueWithUserInputs(A11,310.0,"Call",'Main Dashboard'!$B$5,'Main Dashboard'!$B$7,'Main Dashboard'!$B$8,0.3042)</f>
        <v/>
      </c>
    </row>
    <row r="12">
      <c r="A12" s="31" t="n">
        <v>321.23</v>
      </c>
      <c r="B12" s="13">
        <f>BlackScholesOptionValueWithUserInputs(A12,310.0,"Call",'Main Dashboard'!$B$5,'Main Dashboard'!$B$7,'Main Dashboard'!$B$8,0.1442)</f>
        <v/>
      </c>
      <c r="C12" s="13">
        <f>BlackScholesOptionValueWithUserInputs(A12,310.0,"Call",'Main Dashboard'!$B$5,'Main Dashboard'!$B$7,'Main Dashboard'!$B$8,0.1842)</f>
        <v/>
      </c>
      <c r="D12" s="13">
        <f>BlackScholesOptionValueWithUserInputs(A12,310.0,"Call",'Main Dashboard'!$B$5,'Main Dashboard'!$B$7,'Main Dashboard'!$B$8,0.2242)</f>
        <v/>
      </c>
      <c r="E12" s="13">
        <f>BlackScholesOptionValueWithUserInputs(A12,310.0,"Call",'Main Dashboard'!$B$5,'Main Dashboard'!$B$7,'Main Dashboard'!$B$8,0.2642)</f>
        <v/>
      </c>
      <c r="F12" s="13">
        <f>BlackScholesOptionValueWithUserInputs(A12,310.0,"Call",'Main Dashboard'!$B$5,'Main Dashboard'!$B$7,'Main Dashboard'!$B$8,0.3042)</f>
        <v/>
      </c>
    </row>
    <row r="13">
      <c r="A13" s="31" t="n">
        <v>336.52</v>
      </c>
      <c r="B13" s="13">
        <f>BlackScholesOptionValueWithUserInputs(A13,310.0,"Call",'Main Dashboard'!$B$5,'Main Dashboard'!$B$7,'Main Dashboard'!$B$8,0.1442)</f>
        <v/>
      </c>
      <c r="C13" s="13">
        <f>BlackScholesOptionValueWithUserInputs(A13,310.0,"Call",'Main Dashboard'!$B$5,'Main Dashboard'!$B$7,'Main Dashboard'!$B$8,0.1842)</f>
        <v/>
      </c>
      <c r="D13" s="13">
        <f>BlackScholesOptionValueWithUserInputs(A13,310.0,"Call",'Main Dashboard'!$B$5,'Main Dashboard'!$B$7,'Main Dashboard'!$B$8,0.2242)</f>
        <v/>
      </c>
      <c r="E13" s="13">
        <f>BlackScholesOptionValueWithUserInputs(A13,310.0,"Call",'Main Dashboard'!$B$5,'Main Dashboard'!$B$7,'Main Dashboard'!$B$8,0.2642)</f>
        <v/>
      </c>
      <c r="F13" s="13">
        <f>BlackScholesOptionValueWithUserInputs(A13,310.0,"Call",'Main Dashboard'!$B$5,'Main Dashboard'!$B$7,'Main Dashboard'!$B$8,0.3042)</f>
        <v/>
      </c>
    </row>
    <row r="15">
      <c r="A15" s="4" t="inlineStr">
        <is>
          <t>What the grid shows</t>
        </is>
      </c>
    </row>
    <row r="16" ht="22" customHeight="1">
      <c r="A16" s="3" t="inlineStr">
        <is>
          <t>At the recorded spot and volatility the contract is worth $7.10.</t>
        </is>
      </c>
    </row>
    <row r="17" ht="22" customHeight="1">
      <c r="A17" s="3" t="inlineStr">
        <is>
          <t>A five percent move up in the underlying alone lifts it to $16.22, a gain of $9.12.</t>
        </is>
      </c>
    </row>
    <row r="18" ht="22" customHeight="1">
      <c r="A18" s="3" t="inlineStr">
        <is>
          <t>Holding spot still and adding four volatility points lifts it to $8.61. Removing four points cuts it to $5.60.</t>
        </is>
      </c>
    </row>
    <row r="19" ht="22" customHeight="1">
      <c r="A19" s="3" t="inlineStr">
        <is>
          <t>Volatility moves and price moves are separate risks. A correct call on direction can still lose money if implied volatility falls at the same time.</t>
        </is>
      </c>
    </row>
    <row r="21">
      <c r="A21" s="4" t="inlineStr">
        <is>
          <t>MarketXLS Functions Used in This Sheet</t>
        </is>
      </c>
    </row>
    <row r="22">
      <c r="A22" s="7" t="inlineStr">
        <is>
          <t>BlackScholesOptionValueWithUserInputs(Spot, Strike, Type, Expiry, Rate, Vol)</t>
        </is>
      </c>
      <c r="B22" s="3" t="inlineStr">
        <is>
          <t>Prices a contract from your own inputs</t>
        </is>
      </c>
    </row>
    <row r="23">
      <c r="A23" s="7" t="inlineStr">
        <is>
          <t>OPT_ImpliedVolatilityHistorical(Symbol, OnDate)</t>
        </is>
      </c>
      <c r="B23" s="3" t="inlineStr">
        <is>
          <t>Volatility recorded on a date</t>
        </is>
      </c>
    </row>
    <row r="24">
      <c r="A24" s="7" t="inlineStr">
        <is>
          <t>OPT_DaysToExpiration(optionSymbol)</t>
        </is>
      </c>
      <c r="B24" s="3" t="inlineStr">
        <is>
          <t>Days left on a contract</t>
        </is>
      </c>
    </row>
    <row r="26">
      <c r="A26" s="8" t="inlineStr">
        <is>
          <t>Powered by MarketXLS   |   https://marketxls.com   |   Book a demo: https://marketxls.com/book-demo</t>
        </is>
      </c>
    </row>
  </sheetData>
  <mergeCells count="12">
    <mergeCell ref="A18:H18"/>
    <mergeCell ref="B22:H22"/>
    <mergeCell ref="A26:H26"/>
    <mergeCell ref="A21:H21"/>
    <mergeCell ref="B23:H23"/>
    <mergeCell ref="A15:H15"/>
    <mergeCell ref="A7:H7"/>
    <mergeCell ref="A16:H16"/>
    <mergeCell ref="B24:H24"/>
    <mergeCell ref="A19:H19"/>
    <mergeCell ref="A1:H1"/>
    <mergeCell ref="A17:H17"/>
  </mergeCell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A1:J35"/>
  <sheetViews>
    <sheetView workbookViewId="0">
      <selection activeCell="A1" sqref="A1"/>
    </sheetView>
  </sheetViews>
  <sheetFormatPr baseColWidth="8" defaultRowHeight="15"/>
  <cols>
    <col width="14" customWidth="1" min="1" max="1"/>
    <col width="13" customWidth="1" min="2" max="2"/>
    <col width="11" customWidth="1" min="3" max="3"/>
    <col width="13" customWidth="1" min="4" max="4"/>
    <col width="13" customWidth="1" min="5" max="5"/>
    <col width="12" customWidth="1" min="6" max="6"/>
    <col width="12" customWidth="1" min="7" max="7"/>
    <col width="12" customWidth="1" min="8" max="8"/>
    <col width="12" customWidth="1" min="9" max="9"/>
    <col width="16" customWidth="1" min="10" max="10"/>
  </cols>
  <sheetData>
    <row r="1" ht="26" customHeight="1">
      <c r="A1" s="1" t="inlineStr">
        <is>
          <t>CONTRACT HISTORY - AAPL 2026-09-18 310 CALL</t>
        </is>
      </c>
    </row>
    <row r="2" ht="30" customHeight="1">
      <c r="A2" s="3" t="inlineStr">
        <is>
          <t>One contract, tracked week by week. Watch delta and gamma tighten as the days to expiration fall, and watch vega shrink as there is less time for volatility to matter.</t>
        </is>
      </c>
    </row>
    <row r="4">
      <c r="A4" s="5" t="inlineStr">
        <is>
          <t>Date</t>
        </is>
      </c>
      <c r="B4" s="5" t="inlineStr">
        <is>
          <t>Spot</t>
        </is>
      </c>
      <c r="C4" s="5" t="inlineStr">
        <is>
          <t>DTE</t>
        </is>
      </c>
      <c r="D4" s="5" t="inlineStr">
        <is>
          <t>Realized vol</t>
        </is>
      </c>
      <c r="E4" s="5" t="inlineStr">
        <is>
          <t>Contract value</t>
        </is>
      </c>
      <c r="F4" s="5" t="inlineStr">
        <is>
          <t>Delta</t>
        </is>
      </c>
      <c r="G4" s="5" t="inlineStr">
        <is>
          <t>Gamma</t>
        </is>
      </c>
      <c r="H4" s="5" t="inlineStr">
        <is>
          <t>Vega</t>
        </is>
      </c>
      <c r="I4" s="5" t="inlineStr">
        <is>
          <t>Theta</t>
        </is>
      </c>
      <c r="J4" s="5" t="inlineStr">
        <is>
          <t>Value change</t>
        </is>
      </c>
    </row>
    <row r="5">
      <c r="A5" s="20" t="inlineStr">
        <is>
          <t>2026-05-15</t>
        </is>
      </c>
      <c r="B5" s="13">
        <f>Close_Historical('Main Dashboard'!$B$3,A5)</f>
        <v/>
      </c>
      <c r="C5" s="32" t="n">
        <v>126</v>
      </c>
      <c r="D5" s="16">
        <f>StockVolatilityThirtyDays('Main Dashboard'!$B$3)</f>
        <v/>
      </c>
      <c r="E5" s="13">
        <f>OPT_Last('Main Dashboard'!$B$9)</f>
        <v/>
      </c>
      <c r="F5" s="18">
        <f>OPT_DeltaHistorical('Main Dashboard'!$B$9,A5)</f>
        <v/>
      </c>
      <c r="G5" s="33">
        <f>OPT_GammaHistorical('Main Dashboard'!$B$9,A5)</f>
        <v/>
      </c>
      <c r="H5" s="18">
        <f>OPT_VegaHistorical('Main Dashboard'!$B$9,A5)</f>
        <v/>
      </c>
      <c r="I5" s="18">
        <f>OPT_ThetaHistorical('Main Dashboard'!$B$9,A5)</f>
        <v/>
      </c>
      <c r="J5" s="20" t="inlineStr">
        <is>
          <t>-</t>
        </is>
      </c>
    </row>
    <row r="6">
      <c r="A6" s="23" t="inlineStr">
        <is>
          <t>2026-05-22</t>
        </is>
      </c>
      <c r="B6" s="24">
        <f>Close_Historical('Main Dashboard'!$B$3,A6)</f>
        <v/>
      </c>
      <c r="C6" s="34" t="n">
        <v>119</v>
      </c>
      <c r="D6" s="26">
        <f>StockVolatilityThirtyDays('Main Dashboard'!$B$3)</f>
        <v/>
      </c>
      <c r="E6" s="24">
        <f>OPT_Last('Main Dashboard'!$B$9)</f>
        <v/>
      </c>
      <c r="F6" s="35">
        <f>OPT_DeltaHistorical('Main Dashboard'!$B$9,A6)</f>
        <v/>
      </c>
      <c r="G6" s="36">
        <f>OPT_GammaHistorical('Main Dashboard'!$B$9,A6)</f>
        <v/>
      </c>
      <c r="H6" s="35">
        <f>OPT_VegaHistorical('Main Dashboard'!$B$9,A6)</f>
        <v/>
      </c>
      <c r="I6" s="35">
        <f>OPT_ThetaHistorical('Main Dashboard'!$B$9,A6)</f>
        <v/>
      </c>
      <c r="J6" s="22">
        <f>E6-E5</f>
        <v/>
      </c>
    </row>
    <row r="7">
      <c r="A7" s="20" t="inlineStr">
        <is>
          <t>2026-05-29</t>
        </is>
      </c>
      <c r="B7" s="13">
        <f>Close_Historical('Main Dashboard'!$B$3,A7)</f>
        <v/>
      </c>
      <c r="C7" s="32" t="n">
        <v>112</v>
      </c>
      <c r="D7" s="16">
        <f>StockVolatilityThirtyDays('Main Dashboard'!$B$3)</f>
        <v/>
      </c>
      <c r="E7" s="13">
        <f>OPT_Last('Main Dashboard'!$B$9)</f>
        <v/>
      </c>
      <c r="F7" s="18">
        <f>OPT_DeltaHistorical('Main Dashboard'!$B$9,A7)</f>
        <v/>
      </c>
      <c r="G7" s="33">
        <f>OPT_GammaHistorical('Main Dashboard'!$B$9,A7)</f>
        <v/>
      </c>
      <c r="H7" s="18">
        <f>OPT_VegaHistorical('Main Dashboard'!$B$9,A7)</f>
        <v/>
      </c>
      <c r="I7" s="18">
        <f>OPT_ThetaHistorical('Main Dashboard'!$B$9,A7)</f>
        <v/>
      </c>
      <c r="J7" s="19">
        <f>E7-E6</f>
        <v/>
      </c>
    </row>
    <row r="8">
      <c r="A8" s="23" t="inlineStr">
        <is>
          <t>2026-06-05</t>
        </is>
      </c>
      <c r="B8" s="24">
        <f>Close_Historical('Main Dashboard'!$B$3,A8)</f>
        <v/>
      </c>
      <c r="C8" s="34" t="n">
        <v>105</v>
      </c>
      <c r="D8" s="26">
        <f>StockVolatilityThirtyDays('Main Dashboard'!$B$3)</f>
        <v/>
      </c>
      <c r="E8" s="24">
        <f>OPT_Last('Main Dashboard'!$B$9)</f>
        <v/>
      </c>
      <c r="F8" s="35">
        <f>OPT_DeltaHistorical('Main Dashboard'!$B$9,A8)</f>
        <v/>
      </c>
      <c r="G8" s="36">
        <f>OPT_GammaHistorical('Main Dashboard'!$B$9,A8)</f>
        <v/>
      </c>
      <c r="H8" s="35">
        <f>OPT_VegaHistorical('Main Dashboard'!$B$9,A8)</f>
        <v/>
      </c>
      <c r="I8" s="35">
        <f>OPT_ThetaHistorical('Main Dashboard'!$B$9,A8)</f>
        <v/>
      </c>
      <c r="J8" s="22">
        <f>E8-E7</f>
        <v/>
      </c>
    </row>
    <row r="9">
      <c r="A9" s="20" t="inlineStr">
        <is>
          <t>2026-06-12</t>
        </is>
      </c>
      <c r="B9" s="13">
        <f>Close_Historical('Main Dashboard'!$B$3,A9)</f>
        <v/>
      </c>
      <c r="C9" s="32" t="n">
        <v>98</v>
      </c>
      <c r="D9" s="16">
        <f>StockVolatilityThirtyDays('Main Dashboard'!$B$3)</f>
        <v/>
      </c>
      <c r="E9" s="13">
        <f>OPT_Last('Main Dashboard'!$B$9)</f>
        <v/>
      </c>
      <c r="F9" s="18">
        <f>OPT_DeltaHistorical('Main Dashboard'!$B$9,A9)</f>
        <v/>
      </c>
      <c r="G9" s="33">
        <f>OPT_GammaHistorical('Main Dashboard'!$B$9,A9)</f>
        <v/>
      </c>
      <c r="H9" s="18">
        <f>OPT_VegaHistorical('Main Dashboard'!$B$9,A9)</f>
        <v/>
      </c>
      <c r="I9" s="18">
        <f>OPT_ThetaHistorical('Main Dashboard'!$B$9,A9)</f>
        <v/>
      </c>
      <c r="J9" s="19">
        <f>E9-E8</f>
        <v/>
      </c>
    </row>
    <row r="10">
      <c r="A10" s="23" t="inlineStr">
        <is>
          <t>2026-06-18</t>
        </is>
      </c>
      <c r="B10" s="24">
        <f>Close_Historical('Main Dashboard'!$B$3,A10)</f>
        <v/>
      </c>
      <c r="C10" s="34" t="n">
        <v>92</v>
      </c>
      <c r="D10" s="26">
        <f>StockVolatilityThirtyDays('Main Dashboard'!$B$3)</f>
        <v/>
      </c>
      <c r="E10" s="24">
        <f>OPT_Last('Main Dashboard'!$B$9)</f>
        <v/>
      </c>
      <c r="F10" s="35">
        <f>OPT_DeltaHistorical('Main Dashboard'!$B$9,A10)</f>
        <v/>
      </c>
      <c r="G10" s="36">
        <f>OPT_GammaHistorical('Main Dashboard'!$B$9,A10)</f>
        <v/>
      </c>
      <c r="H10" s="35">
        <f>OPT_VegaHistorical('Main Dashboard'!$B$9,A10)</f>
        <v/>
      </c>
      <c r="I10" s="35">
        <f>OPT_ThetaHistorical('Main Dashboard'!$B$9,A10)</f>
        <v/>
      </c>
      <c r="J10" s="22">
        <f>E10-E9</f>
        <v/>
      </c>
    </row>
    <row r="11">
      <c r="A11" s="20" t="inlineStr">
        <is>
          <t>2026-06-26</t>
        </is>
      </c>
      <c r="B11" s="13">
        <f>Close_Historical('Main Dashboard'!$B$3,A11)</f>
        <v/>
      </c>
      <c r="C11" s="32" t="n">
        <v>84</v>
      </c>
      <c r="D11" s="16">
        <f>StockVolatilityThirtyDays('Main Dashboard'!$B$3)</f>
        <v/>
      </c>
      <c r="E11" s="13">
        <f>OPT_Last('Main Dashboard'!$B$9)</f>
        <v/>
      </c>
      <c r="F11" s="18">
        <f>OPT_DeltaHistorical('Main Dashboard'!$B$9,A11)</f>
        <v/>
      </c>
      <c r="G11" s="33">
        <f>OPT_GammaHistorical('Main Dashboard'!$B$9,A11)</f>
        <v/>
      </c>
      <c r="H11" s="18">
        <f>OPT_VegaHistorical('Main Dashboard'!$B$9,A11)</f>
        <v/>
      </c>
      <c r="I11" s="18">
        <f>OPT_ThetaHistorical('Main Dashboard'!$B$9,A11)</f>
        <v/>
      </c>
      <c r="J11" s="19">
        <f>E11-E10</f>
        <v/>
      </c>
    </row>
    <row r="12">
      <c r="A12" s="23" t="inlineStr">
        <is>
          <t>2026-07-02</t>
        </is>
      </c>
      <c r="B12" s="24">
        <f>Close_Historical('Main Dashboard'!$B$3,A12)</f>
        <v/>
      </c>
      <c r="C12" s="34" t="n">
        <v>78</v>
      </c>
      <c r="D12" s="26">
        <f>StockVolatilityThirtyDays('Main Dashboard'!$B$3)</f>
        <v/>
      </c>
      <c r="E12" s="24">
        <f>OPT_Last('Main Dashboard'!$B$9)</f>
        <v/>
      </c>
      <c r="F12" s="35">
        <f>OPT_DeltaHistorical('Main Dashboard'!$B$9,A12)</f>
        <v/>
      </c>
      <c r="G12" s="36">
        <f>OPT_GammaHistorical('Main Dashboard'!$B$9,A12)</f>
        <v/>
      </c>
      <c r="H12" s="35">
        <f>OPT_VegaHistorical('Main Dashboard'!$B$9,A12)</f>
        <v/>
      </c>
      <c r="I12" s="35">
        <f>OPT_ThetaHistorical('Main Dashboard'!$B$9,A12)</f>
        <v/>
      </c>
      <c r="J12" s="22">
        <f>E12-E11</f>
        <v/>
      </c>
    </row>
    <row r="13">
      <c r="A13" s="20" t="inlineStr">
        <is>
          <t>2026-07-10</t>
        </is>
      </c>
      <c r="B13" s="13">
        <f>Close_Historical('Main Dashboard'!$B$3,A13)</f>
        <v/>
      </c>
      <c r="C13" s="32" t="n">
        <v>70</v>
      </c>
      <c r="D13" s="16">
        <f>StockVolatilityThirtyDays('Main Dashboard'!$B$3)</f>
        <v/>
      </c>
      <c r="E13" s="13">
        <f>OPT_Last('Main Dashboard'!$B$9)</f>
        <v/>
      </c>
      <c r="F13" s="18">
        <f>OPT_DeltaHistorical('Main Dashboard'!$B$9,A13)</f>
        <v/>
      </c>
      <c r="G13" s="33">
        <f>OPT_GammaHistorical('Main Dashboard'!$B$9,A13)</f>
        <v/>
      </c>
      <c r="H13" s="18">
        <f>OPT_VegaHistorical('Main Dashboard'!$B$9,A13)</f>
        <v/>
      </c>
      <c r="I13" s="18">
        <f>OPT_ThetaHistorical('Main Dashboard'!$B$9,A13)</f>
        <v/>
      </c>
      <c r="J13" s="19">
        <f>E13-E12</f>
        <v/>
      </c>
    </row>
    <row r="14">
      <c r="A14" s="23" t="inlineStr">
        <is>
          <t>2026-07-17</t>
        </is>
      </c>
      <c r="B14" s="24">
        <f>Close_Historical('Main Dashboard'!$B$3,A14)</f>
        <v/>
      </c>
      <c r="C14" s="34" t="n">
        <v>63</v>
      </c>
      <c r="D14" s="26">
        <f>StockVolatilityThirtyDays('Main Dashboard'!$B$3)</f>
        <v/>
      </c>
      <c r="E14" s="24">
        <f>OPT_Last('Main Dashboard'!$B$9)</f>
        <v/>
      </c>
      <c r="F14" s="35">
        <f>OPT_DeltaHistorical('Main Dashboard'!$B$9,A14)</f>
        <v/>
      </c>
      <c r="G14" s="36">
        <f>OPT_GammaHistorical('Main Dashboard'!$B$9,A14)</f>
        <v/>
      </c>
      <c r="H14" s="35">
        <f>OPT_VegaHistorical('Main Dashboard'!$B$9,A14)</f>
        <v/>
      </c>
      <c r="I14" s="35">
        <f>OPT_ThetaHistorical('Main Dashboard'!$B$9,A14)</f>
        <v/>
      </c>
      <c r="J14" s="22">
        <f>E14-E13</f>
        <v/>
      </c>
    </row>
    <row r="15">
      <c r="A15" s="20" t="inlineStr">
        <is>
          <t>2026-07-24</t>
        </is>
      </c>
      <c r="B15" s="13">
        <f>Close_Historical('Main Dashboard'!$B$3,A15)</f>
        <v/>
      </c>
      <c r="C15" s="32" t="n">
        <v>56</v>
      </c>
      <c r="D15" s="16">
        <f>StockVolatilityThirtyDays('Main Dashboard'!$B$3)</f>
        <v/>
      </c>
      <c r="E15" s="13">
        <f>OPT_Last('Main Dashboard'!$B$9)</f>
        <v/>
      </c>
      <c r="F15" s="18">
        <f>OPT_DeltaHistorical('Main Dashboard'!$B$9,A15)</f>
        <v/>
      </c>
      <c r="G15" s="33">
        <f>OPT_GammaHistorical('Main Dashboard'!$B$9,A15)</f>
        <v/>
      </c>
      <c r="H15" s="18">
        <f>OPT_VegaHistorical('Main Dashboard'!$B$9,A15)</f>
        <v/>
      </c>
      <c r="I15" s="18">
        <f>OPT_ThetaHistorical('Main Dashboard'!$B$9,A15)</f>
        <v/>
      </c>
      <c r="J15" s="19">
        <f>E15-E14</f>
        <v/>
      </c>
    </row>
    <row r="16">
      <c r="A16" s="23" t="inlineStr">
        <is>
          <t>2026-07-31</t>
        </is>
      </c>
      <c r="B16" s="24">
        <f>Close_Historical('Main Dashboard'!$B$3,A16)</f>
        <v/>
      </c>
      <c r="C16" s="34" t="n">
        <v>49</v>
      </c>
      <c r="D16" s="26">
        <f>StockVolatilityThirtyDays('Main Dashboard'!$B$3)</f>
        <v/>
      </c>
      <c r="E16" s="24">
        <f>OPT_Last('Main Dashboard'!$B$9)</f>
        <v/>
      </c>
      <c r="F16" s="35">
        <f>OPT_DeltaHistorical('Main Dashboard'!$B$9,A16)</f>
        <v/>
      </c>
      <c r="G16" s="36">
        <f>OPT_GammaHistorical('Main Dashboard'!$B$9,A16)</f>
        <v/>
      </c>
      <c r="H16" s="35">
        <f>OPT_VegaHistorical('Main Dashboard'!$B$9,A16)</f>
        <v/>
      </c>
      <c r="I16" s="35">
        <f>OPT_ThetaHistorical('Main Dashboard'!$B$9,A16)</f>
        <v/>
      </c>
      <c r="J16" s="22">
        <f>E16-E15</f>
        <v/>
      </c>
    </row>
    <row r="17">
      <c r="A17" s="20" t="inlineStr">
        <is>
          <t>2026-08-07</t>
        </is>
      </c>
      <c r="B17" s="13">
        <f>Close_Historical('Main Dashboard'!$B$3,A17)</f>
        <v/>
      </c>
      <c r="C17" s="32" t="n">
        <v>42</v>
      </c>
      <c r="D17" s="16">
        <f>StockVolatilityThirtyDays('Main Dashboard'!$B$3)</f>
        <v/>
      </c>
      <c r="E17" s="13">
        <f>OPT_Last('Main Dashboard'!$B$9)</f>
        <v/>
      </c>
      <c r="F17" s="18">
        <f>OPT_DeltaHistorical('Main Dashboard'!$B$9,A17)</f>
        <v/>
      </c>
      <c r="G17" s="33">
        <f>OPT_GammaHistorical('Main Dashboard'!$B$9,A17)</f>
        <v/>
      </c>
      <c r="H17" s="18">
        <f>OPT_VegaHistorical('Main Dashboard'!$B$9,A17)</f>
        <v/>
      </c>
      <c r="I17" s="18">
        <f>OPT_ThetaHistorical('Main Dashboard'!$B$9,A17)</f>
        <v/>
      </c>
      <c r="J17" s="19">
        <f>E17-E16</f>
        <v/>
      </c>
    </row>
    <row r="18">
      <c r="A18" s="23" t="inlineStr">
        <is>
          <t>2026-08-14</t>
        </is>
      </c>
      <c r="B18" s="24">
        <f>Close_Historical('Main Dashboard'!$B$3,A18)</f>
        <v/>
      </c>
      <c r="C18" s="34" t="n">
        <v>35</v>
      </c>
      <c r="D18" s="26">
        <f>StockVolatilityThirtyDays('Main Dashboard'!$B$3)</f>
        <v/>
      </c>
      <c r="E18" s="24">
        <f>OPT_Last('Main Dashboard'!$B$9)</f>
        <v/>
      </c>
      <c r="F18" s="35">
        <f>OPT_DeltaHistorical('Main Dashboard'!$B$9,A18)</f>
        <v/>
      </c>
      <c r="G18" s="36">
        <f>OPT_GammaHistorical('Main Dashboard'!$B$9,A18)</f>
        <v/>
      </c>
      <c r="H18" s="35">
        <f>OPT_VegaHistorical('Main Dashboard'!$B$9,A18)</f>
        <v/>
      </c>
      <c r="I18" s="35">
        <f>OPT_ThetaHistorical('Main Dashboard'!$B$9,A18)</f>
        <v/>
      </c>
      <c r="J18" s="22">
        <f>E18-E17</f>
        <v/>
      </c>
    </row>
    <row r="20">
      <c r="A20" s="4" t="inlineStr">
        <is>
          <t>What the track shows</t>
        </is>
      </c>
    </row>
    <row r="21" ht="22" customHeight="1">
      <c r="A21" s="3" t="inlineStr">
        <is>
          <t>Days to expiration fell from 126 to 35 across the window.</t>
        </is>
      </c>
    </row>
    <row r="22" ht="22" customHeight="1">
      <c r="A22" s="3" t="inlineStr">
        <is>
          <t>Gamma rose from 0.00958 to 0.01312. A shorter contract reacts faster to the same move in the underlying.</t>
        </is>
      </c>
    </row>
    <row r="23" ht="22" customHeight="1">
      <c r="A23" s="3" t="inlineStr">
        <is>
          <t>Vega fell from 0.7011 to 0.3774. Less remaining time means a volatility change moves the contract less in dollar terms.</t>
        </is>
      </c>
    </row>
    <row r="24" ht="22" customHeight="1">
      <c r="A24" s="3" t="inlineStr">
        <is>
          <t>This is the reason a strategy that looked stable on entry can behave very differently in its final weeks. The Greeks are not constants.</t>
        </is>
      </c>
    </row>
    <row r="26">
      <c r="A26" s="4" t="inlineStr">
        <is>
          <t>MarketXLS Functions Used in This Sheet</t>
        </is>
      </c>
    </row>
    <row r="27">
      <c r="A27" s="7" t="inlineStr">
        <is>
          <t>OPT_DeltaHistorical(Symbol, OnDate)</t>
        </is>
      </c>
      <c r="B27" s="3" t="inlineStr">
        <is>
          <t>Delta recorded on a past date</t>
        </is>
      </c>
    </row>
    <row r="28">
      <c r="A28" s="7" t="inlineStr">
        <is>
          <t>OPT_GammaHistorical(Symbol, OnDate)</t>
        </is>
      </c>
      <c r="B28" s="3" t="inlineStr">
        <is>
          <t>Gamma recorded on a past date</t>
        </is>
      </c>
    </row>
    <row r="29">
      <c r="A29" s="7" t="inlineStr">
        <is>
          <t>OPT_VegaHistorical(Symbol, OnDate)</t>
        </is>
      </c>
      <c r="B29" s="3" t="inlineStr">
        <is>
          <t>Vega recorded on a past date</t>
        </is>
      </c>
    </row>
    <row r="30">
      <c r="A30" s="7" t="inlineStr">
        <is>
          <t>OPT_ThetaHistorical(Symbol, OnDate)</t>
        </is>
      </c>
      <c r="B30" s="3" t="inlineStr">
        <is>
          <t>Theta recorded on a past date</t>
        </is>
      </c>
    </row>
    <row r="31">
      <c r="A31" s="7" t="inlineStr">
        <is>
          <t>OPT_ImpliedVolatilityHistorical(Symbol, OnDate)</t>
        </is>
      </c>
      <c r="B31" s="3" t="inlineStr">
        <is>
          <t>Implied volatility on a past date</t>
        </is>
      </c>
    </row>
    <row r="32">
      <c r="A32" s="7" t="inlineStr">
        <is>
          <t>Close_Historical(Symbol, Date)</t>
        </is>
      </c>
      <c r="B32" s="3" t="inlineStr">
        <is>
          <t>Underlying close on a past date</t>
        </is>
      </c>
    </row>
    <row r="33">
      <c r="A33" s="7" t="inlineStr">
        <is>
          <t>OPT_Last(optionSymbol)</t>
        </is>
      </c>
      <c r="B33" s="3" t="inlineStr">
        <is>
          <t>Last traded price for a contract</t>
        </is>
      </c>
    </row>
    <row r="35">
      <c r="A35" s="8" t="inlineStr">
        <is>
          <t>Powered by MarketXLS   |   https://marketxls.com   |   Book a demo: https://marketxls.com/book-demo</t>
        </is>
      </c>
    </row>
  </sheetData>
  <mergeCells count="16">
    <mergeCell ref="B29:J29"/>
    <mergeCell ref="B33:J33"/>
    <mergeCell ref="A1:J1"/>
    <mergeCell ref="A23:J23"/>
    <mergeCell ref="A22:J22"/>
    <mergeCell ref="B28:J28"/>
    <mergeCell ref="B32:J32"/>
    <mergeCell ref="A21:J21"/>
    <mergeCell ref="B31:J31"/>
    <mergeCell ref="B27:J27"/>
    <mergeCell ref="A35:J35"/>
    <mergeCell ref="A20:J20"/>
    <mergeCell ref="A24:J24"/>
    <mergeCell ref="A2:J2"/>
    <mergeCell ref="A26:J26"/>
    <mergeCell ref="B30:J30"/>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cols>
    <col width="32" customWidth="1" min="1" max="1"/>
    <col width="18" customWidth="1" min="2" max="2"/>
    <col width="18" customWidth="1" min="3" max="3"/>
    <col width="18" customWidth="1" min="4" max="4"/>
    <col width="18" customWidth="1" min="5" max="5"/>
    <col width="18" customWidth="1" min="6" max="6"/>
    <col width="18" customWidth="1" min="7" max="7"/>
  </cols>
  <sheetData>
    <row r="1" ht="26" customHeight="1">
      <c r="A1" s="1" t="inlineStr">
        <is>
          <t>POSITION SIZING FROM HISTORICAL RISK</t>
        </is>
      </c>
    </row>
    <row r="2">
      <c r="A2" s="4" t="inlineStr">
        <is>
          <t>Inputs</t>
        </is>
      </c>
    </row>
    <row r="3">
      <c r="A3" s="2" t="inlineStr">
        <is>
          <t>Account size</t>
        </is>
      </c>
      <c r="B3" s="37" t="n">
        <v>100000</v>
      </c>
    </row>
    <row r="4">
      <c r="A4" s="2" t="inlineStr">
        <is>
          <t>Risk per position</t>
        </is>
      </c>
      <c r="B4" s="38" t="n">
        <v>0.02</v>
      </c>
    </row>
    <row r="5">
      <c r="A5" s="2" t="inlineStr">
        <is>
          <t>Contract multiplier</t>
        </is>
      </c>
      <c r="B5" s="30" t="n">
        <v>100</v>
      </c>
    </row>
    <row r="7">
      <c r="A7" s="4" t="inlineStr">
        <is>
          <t>Sizing from the recorded contract price</t>
        </is>
      </c>
    </row>
    <row r="8">
      <c r="A8" s="2" t="inlineStr">
        <is>
          <t>Contract mid</t>
        </is>
      </c>
      <c r="B8" s="19" t="n">
        <v>7.1</v>
      </c>
    </row>
    <row r="9">
      <c r="A9" s="2" t="inlineStr">
        <is>
          <t>Cost per contract</t>
        </is>
      </c>
      <c r="B9" s="19">
        <f>B8*B5</f>
        <v/>
      </c>
    </row>
    <row r="10">
      <c r="A10" s="2" t="inlineStr">
        <is>
          <t>Dollar risk budget</t>
        </is>
      </c>
      <c r="B10" s="19">
        <f>B3*B4</f>
        <v/>
      </c>
    </row>
    <row r="11">
      <c r="A11" s="2" t="inlineStr">
        <is>
          <t>Contracts at full premium risk</t>
        </is>
      </c>
      <c r="B11" s="39">
        <f>IF(B9&gt;0,ROUNDDOWN(B10/B9,0),0)</f>
        <v/>
      </c>
    </row>
    <row r="12">
      <c r="A12" s="2" t="inlineStr">
        <is>
          <t>Premium committed</t>
        </is>
      </c>
      <c r="B12" s="19">
        <f>B11*B9</f>
        <v/>
      </c>
    </row>
    <row r="13">
      <c r="A13" s="2" t="inlineStr">
        <is>
          <t>Share of account committed</t>
        </is>
      </c>
      <c r="B13" s="29">
        <f>IF(B3&gt;0,B12/B3,0)</f>
        <v/>
      </c>
    </row>
    <row r="15">
      <c r="A15" s="4" t="inlineStr">
        <is>
          <t>Risk budget across several risk settings</t>
        </is>
      </c>
    </row>
    <row r="16">
      <c r="A16" s="5" t="inlineStr">
        <is>
          <t>Risk per position</t>
        </is>
      </c>
      <c r="B16" s="5" t="inlineStr">
        <is>
          <t>Dollar risk</t>
        </is>
      </c>
      <c r="C16" s="5" t="inlineStr">
        <is>
          <t>Contracts</t>
        </is>
      </c>
      <c r="D16" s="5" t="inlineStr">
        <is>
          <t>Premium committed</t>
        </is>
      </c>
      <c r="E16" s="5" t="inlineStr">
        <is>
          <t>Share of account</t>
        </is>
      </c>
      <c r="F16" s="5" t="inlineStr"/>
      <c r="G16" s="5" t="inlineStr"/>
    </row>
    <row r="17">
      <c r="A17" s="40" t="n">
        <v>0.005</v>
      </c>
      <c r="B17" s="19">
        <f>$B$3*A17</f>
        <v/>
      </c>
      <c r="C17" s="39">
        <f>IF($B$9&gt;0,ROUNDDOWN(B17/$B$9,0),0)</f>
        <v/>
      </c>
      <c r="D17" s="19">
        <f>C17*$B$9</f>
        <v/>
      </c>
      <c r="E17" s="29">
        <f>IF($B$3&gt;0,D17/$B$3,0)</f>
        <v/>
      </c>
    </row>
    <row r="18">
      <c r="A18" s="40" t="n">
        <v>0.01</v>
      </c>
      <c r="B18" s="19">
        <f>$B$3*A18</f>
        <v/>
      </c>
      <c r="C18" s="39">
        <f>IF($B$9&gt;0,ROUNDDOWN(B18/$B$9,0),0)</f>
        <v/>
      </c>
      <c r="D18" s="19">
        <f>C18*$B$9</f>
        <v/>
      </c>
      <c r="E18" s="29">
        <f>IF($B$3&gt;0,D18/$B$3,0)</f>
        <v/>
      </c>
    </row>
    <row r="19">
      <c r="A19" s="40" t="n">
        <v>0.02</v>
      </c>
      <c r="B19" s="19">
        <f>$B$3*A19</f>
        <v/>
      </c>
      <c r="C19" s="39">
        <f>IF($B$9&gt;0,ROUNDDOWN(B19/$B$9,0),0)</f>
        <v/>
      </c>
      <c r="D19" s="19">
        <f>C19*$B$9</f>
        <v/>
      </c>
      <c r="E19" s="29">
        <f>IF($B$3&gt;0,D19/$B$3,0)</f>
        <v/>
      </c>
    </row>
    <row r="20">
      <c r="A20" s="40" t="n">
        <v>0.03</v>
      </c>
      <c r="B20" s="19">
        <f>$B$3*A20</f>
        <v/>
      </c>
      <c r="C20" s="39">
        <f>IF($B$9&gt;0,ROUNDDOWN(B20/$B$9,0),0)</f>
        <v/>
      </c>
      <c r="D20" s="19">
        <f>C20*$B$9</f>
        <v/>
      </c>
      <c r="E20" s="29">
        <f>IF($B$3&gt;0,D20/$B$3,0)</f>
        <v/>
      </c>
    </row>
    <row r="21">
      <c r="A21" s="40" t="n">
        <v>0.05</v>
      </c>
      <c r="B21" s="19">
        <f>$B$3*A21</f>
        <v/>
      </c>
      <c r="C21" s="39">
        <f>IF($B$9&gt;0,ROUNDDOWN(B21/$B$9,0),0)</f>
        <v/>
      </c>
      <c r="D21" s="19">
        <f>C21*$B$9</f>
        <v/>
      </c>
      <c r="E21" s="29">
        <f>IF($B$3&gt;0,D21/$B$3,0)</f>
        <v/>
      </c>
    </row>
    <row r="23">
      <c r="A23" s="6" t="inlineStr">
        <is>
          <t>Sizing is arithmetic, not advice. The table shows what a chosen risk percentage implies for contract count. It does not suggest that any of these settings is suitable for you.</t>
        </is>
      </c>
    </row>
    <row r="24"/>
    <row r="26">
      <c r="A26" s="4" t="inlineStr">
        <is>
          <t>MarketXLS Functions Used in This Sheet</t>
        </is>
      </c>
    </row>
    <row r="27">
      <c r="A27" s="7" t="inlineStr">
        <is>
          <t>OPT_Last(optionSymbol)</t>
        </is>
      </c>
      <c r="B27" s="3" t="inlineStr">
        <is>
          <t>Last traded price for a contract</t>
        </is>
      </c>
    </row>
    <row r="28">
      <c r="A28" s="7" t="inlineStr">
        <is>
          <t>OPT_Bid(optionSymbol) / OPT_Ask(optionSymbol)</t>
        </is>
      </c>
      <c r="B28" s="3" t="inlineStr">
        <is>
          <t>Quoted bid and ask</t>
        </is>
      </c>
    </row>
    <row r="29">
      <c r="A29" s="7" t="inlineStr">
        <is>
          <t>OPT_IntrinsicValue(optionSymbol, stockPrice)</t>
        </is>
      </c>
      <c r="B29" s="3" t="inlineStr">
        <is>
          <t>Intrinsic value of a contract</t>
        </is>
      </c>
    </row>
    <row r="30">
      <c r="A30" s="7" t="inlineStr">
        <is>
          <t>OPT_TimeValue(optionSymbol, optionPrice, stockPrice)</t>
        </is>
      </c>
      <c r="B30" s="3" t="inlineStr">
        <is>
          <t>Time value of a contract</t>
        </is>
      </c>
    </row>
    <row r="32">
      <c r="A32" s="8" t="inlineStr">
        <is>
          <t>Powered by MarketXLS   |   https://marketxls.com   |   Book a demo: https://marketxls.com/book-demo</t>
        </is>
      </c>
    </row>
  </sheetData>
  <mergeCells count="11">
    <mergeCell ref="A32:G32"/>
    <mergeCell ref="A1:G1"/>
    <mergeCell ref="B28:G28"/>
    <mergeCell ref="B27:G27"/>
    <mergeCell ref="A26:G26"/>
    <mergeCell ref="A2:G2"/>
    <mergeCell ref="A15:G15"/>
    <mergeCell ref="A7:G7"/>
    <mergeCell ref="B30:G30"/>
    <mergeCell ref="A23:G24"/>
    <mergeCell ref="B29:G29"/>
  </mergeCells>
  <pageMargins left="0.75" right="0.75" top="1" bottom="1" header="0.5" footer="0.5"/>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sheetPr>
  <dimension ref="A1:H46"/>
  <sheetViews>
    <sheetView workbookViewId="0">
      <pane ySplit="4" topLeftCell="A5" activePane="bottomLeft" state="frozen"/>
      <selection pane="bottomLeft" activeCell="A1" sqref="A1"/>
    </sheetView>
  </sheetViews>
  <sheetFormatPr baseColWidth="8" defaultRowHeight="15"/>
  <cols>
    <col width="14" customWidth="1" min="1" max="1"/>
    <col width="14" customWidth="1" min="2" max="2"/>
    <col width="16" customWidth="1" min="3" max="3"/>
    <col width="16" customWidth="1" min="4" max="4"/>
    <col width="20" customWidth="1" min="5" max="5"/>
    <col width="18" customWidth="1" min="6" max="6"/>
    <col width="20" customWidth="1" min="7" max="7"/>
    <col width="16" customWidth="1" min="8" max="8"/>
  </cols>
  <sheetData>
    <row r="1" ht="26" customHeight="1">
      <c r="A1" s="1" t="inlineStr">
        <is>
          <t>VOL COMPARISON - REALIZED VOLATILITY THROUGH TIME</t>
        </is>
      </c>
    </row>
    <row r="2" ht="32" customHeight="1">
      <c r="A2" s="3" t="inlineStr">
        <is>
          <t>Month-end realized volatility on two windows, next to the volatility that actually arrived over the following 30 days. The gap between what a short window says and what comes next is the reason a single volatility reading is a weak forecast.</t>
        </is>
      </c>
    </row>
    <row r="4">
      <c r="A4" s="5" t="inlineStr">
        <is>
          <t>Month</t>
        </is>
      </c>
      <c r="B4" s="5" t="inlineStr">
        <is>
          <t>Close</t>
        </is>
      </c>
      <c r="C4" s="5" t="inlineStr">
        <is>
          <t>Realized 15d</t>
        </is>
      </c>
      <c r="D4" s="5" t="inlineStr">
        <is>
          <t>Realized 30d</t>
        </is>
      </c>
      <c r="E4" s="5" t="inlineStr">
        <is>
          <t>Next 30d realized</t>
        </is>
      </c>
      <c r="F4" s="5" t="inlineStr">
        <is>
          <t>Next minus 30d</t>
        </is>
      </c>
      <c r="G4" s="5" t="inlineStr">
        <is>
          <t>Direction</t>
        </is>
      </c>
      <c r="H4" s="5" t="inlineStr"/>
    </row>
    <row r="5">
      <c r="A5" s="20" t="inlineStr">
        <is>
          <t>2024-09</t>
        </is>
      </c>
      <c r="B5" s="19" t="n">
        <v>233</v>
      </c>
      <c r="C5" s="16">
        <f>StockVolatilityFifteenDays('Main Dashboard'!$B$3)</f>
        <v/>
      </c>
      <c r="D5" s="16">
        <f>StockVolatilityThirtyDays('Main Dashboard'!$B$3)</f>
        <v/>
      </c>
      <c r="E5" s="29" t="n">
        <v>0.2022</v>
      </c>
      <c r="F5" s="41" t="n">
        <v>0.0024</v>
      </c>
      <c r="G5" s="20" t="inlineStr">
        <is>
          <t>Wilder after</t>
        </is>
      </c>
    </row>
    <row r="6">
      <c r="A6" s="23" t="inlineStr">
        <is>
          <t>2024-10</t>
        </is>
      </c>
      <c r="B6" s="22" t="n">
        <v>225.91</v>
      </c>
      <c r="C6" s="26">
        <f>StockVolatilityFifteenDays('Main Dashboard'!$B$3)</f>
        <v/>
      </c>
      <c r="D6" s="26">
        <f>StockVolatilityThirtyDays('Main Dashboard'!$B$3)</f>
        <v/>
      </c>
      <c r="E6" s="42" t="n">
        <v>0.1362</v>
      </c>
      <c r="F6" s="43" t="n">
        <v>-0.0625</v>
      </c>
      <c r="G6" s="23" t="inlineStr">
        <is>
          <t>Calmer after</t>
        </is>
      </c>
    </row>
    <row r="7">
      <c r="A7" s="20" t="inlineStr">
        <is>
          <t>2024-11</t>
        </is>
      </c>
      <c r="B7" s="19" t="n">
        <v>237.33</v>
      </c>
      <c r="C7" s="16">
        <f>StockVolatilityFifteenDays('Main Dashboard'!$B$3)</f>
        <v/>
      </c>
      <c r="D7" s="16">
        <f>StockVolatilityThirtyDays('Main Dashboard'!$B$3)</f>
        <v/>
      </c>
      <c r="E7" s="29" t="n">
        <v>0.1919</v>
      </c>
      <c r="F7" s="41" t="n">
        <v>0.0262</v>
      </c>
      <c r="G7" s="20" t="inlineStr">
        <is>
          <t>Wilder after</t>
        </is>
      </c>
    </row>
    <row r="8">
      <c r="A8" s="23" t="inlineStr">
        <is>
          <t>2024-12</t>
        </is>
      </c>
      <c r="B8" s="22" t="n">
        <v>250.42</v>
      </c>
      <c r="C8" s="26">
        <f>StockVolatilityFifteenDays('Main Dashboard'!$B$3)</f>
        <v/>
      </c>
      <c r="D8" s="26">
        <f>StockVolatilityThirtyDays('Main Dashboard'!$B$3)</f>
        <v/>
      </c>
      <c r="E8" s="42" t="n">
        <v>0.306</v>
      </c>
      <c r="F8" s="44" t="n">
        <v>0.1602</v>
      </c>
      <c r="G8" s="23" t="inlineStr">
        <is>
          <t>Wilder after</t>
        </is>
      </c>
    </row>
    <row r="9">
      <c r="A9" s="20" t="inlineStr">
        <is>
          <t>2025-01</t>
        </is>
      </c>
      <c r="B9" s="19" t="n">
        <v>236</v>
      </c>
      <c r="C9" s="16">
        <f>StockVolatilityFifteenDays('Main Dashboard'!$B$3)</f>
        <v/>
      </c>
      <c r="D9" s="16">
        <f>StockVolatilityThirtyDays('Main Dashboard'!$B$3)</f>
        <v/>
      </c>
      <c r="E9" s="29" t="n">
        <v>0.2993</v>
      </c>
      <c r="F9" s="41" t="n">
        <v>0.0255</v>
      </c>
      <c r="G9" s="20" t="inlineStr">
        <is>
          <t>Wilder after</t>
        </is>
      </c>
    </row>
    <row r="10">
      <c r="A10" s="23" t="inlineStr">
        <is>
          <t>2025-02</t>
        </is>
      </c>
      <c r="B10" s="22" t="n">
        <v>241.84</v>
      </c>
      <c r="C10" s="26">
        <f>StockVolatilityFifteenDays('Main Dashboard'!$B$3)</f>
        <v/>
      </c>
      <c r="D10" s="26">
        <f>StockVolatilityThirtyDays('Main Dashboard'!$B$3)</f>
        <v/>
      </c>
      <c r="E10" s="42" t="n">
        <v>0.6565</v>
      </c>
      <c r="F10" s="44" t="n">
        <v>0.36</v>
      </c>
      <c r="G10" s="23" t="inlineStr">
        <is>
          <t>Wilder after</t>
        </is>
      </c>
    </row>
    <row r="11">
      <c r="A11" s="20" t="inlineStr">
        <is>
          <t>2025-03</t>
        </is>
      </c>
      <c r="B11" s="19" t="n">
        <v>222.13</v>
      </c>
      <c r="C11" s="16">
        <f>StockVolatilityFifteenDays('Main Dashboard'!$B$3)</f>
        <v/>
      </c>
      <c r="D11" s="16">
        <f>StockVolatilityThirtyDays('Main Dashboard'!$B$3)</f>
        <v/>
      </c>
      <c r="E11" s="29" t="n">
        <v>0.6854</v>
      </c>
      <c r="F11" s="41" t="n">
        <v>0.4064</v>
      </c>
      <c r="G11" s="20" t="inlineStr">
        <is>
          <t>Wilder after</t>
        </is>
      </c>
    </row>
    <row r="12">
      <c r="A12" s="23" t="inlineStr">
        <is>
          <t>2025-04</t>
        </is>
      </c>
      <c r="B12" s="22" t="n">
        <v>212.5</v>
      </c>
      <c r="C12" s="26">
        <f>StockVolatilityFifteenDays('Main Dashboard'!$B$3)</f>
        <v/>
      </c>
      <c r="D12" s="26">
        <f>StockVolatilityThirtyDays('Main Dashboard'!$B$3)</f>
        <v/>
      </c>
      <c r="E12" s="42" t="n">
        <v>0.2899</v>
      </c>
      <c r="F12" s="43" t="n">
        <v>-0.3686</v>
      </c>
      <c r="G12" s="23" t="inlineStr">
        <is>
          <t>Calmer after</t>
        </is>
      </c>
    </row>
    <row r="13">
      <c r="A13" s="20" t="inlineStr">
        <is>
          <t>2025-05</t>
        </is>
      </c>
      <c r="B13" s="19" t="n">
        <v>200.85</v>
      </c>
      <c r="C13" s="16">
        <f>StockVolatilityFifteenDays('Main Dashboard'!$B$3)</f>
        <v/>
      </c>
      <c r="D13" s="16">
        <f>StockVolatilityThirtyDays('Main Dashboard'!$B$3)</f>
        <v/>
      </c>
      <c r="E13" s="29" t="n">
        <v>0.1792</v>
      </c>
      <c r="F13" s="45" t="n">
        <v>-0.1363</v>
      </c>
      <c r="G13" s="20" t="inlineStr">
        <is>
          <t>Calmer after</t>
        </is>
      </c>
    </row>
    <row r="14">
      <c r="A14" s="23" t="inlineStr">
        <is>
          <t>2025-06</t>
        </is>
      </c>
      <c r="B14" s="22" t="n">
        <v>205.17</v>
      </c>
      <c r="C14" s="26">
        <f>StockVolatilityFifteenDays('Main Dashboard'!$B$3)</f>
        <v/>
      </c>
      <c r="D14" s="26">
        <f>StockVolatilityThirtyDays('Main Dashboard'!$B$3)</f>
        <v/>
      </c>
      <c r="E14" s="42" t="n">
        <v>0.2527</v>
      </c>
      <c r="F14" s="44" t="n">
        <v>0.0468</v>
      </c>
      <c r="G14" s="23" t="inlineStr">
        <is>
          <t>Wilder after</t>
        </is>
      </c>
    </row>
    <row r="15">
      <c r="A15" s="20" t="inlineStr">
        <is>
          <t>2025-07</t>
        </is>
      </c>
      <c r="B15" s="19" t="n">
        <v>207.57</v>
      </c>
      <c r="C15" s="16">
        <f>StockVolatilityFifteenDays('Main Dashboard'!$B$3)</f>
        <v/>
      </c>
      <c r="D15" s="16">
        <f>StockVolatilityThirtyDays('Main Dashboard'!$B$3)</f>
        <v/>
      </c>
      <c r="E15" s="29" t="n">
        <v>0.2954</v>
      </c>
      <c r="F15" s="41" t="n">
        <v>0.1444</v>
      </c>
      <c r="G15" s="20" t="inlineStr">
        <is>
          <t>Wilder after</t>
        </is>
      </c>
    </row>
    <row r="16">
      <c r="A16" s="23" t="inlineStr">
        <is>
          <t>2025-08</t>
        </is>
      </c>
      <c r="B16" s="22" t="n">
        <v>232.14</v>
      </c>
      <c r="C16" s="26">
        <f>StockVolatilityFifteenDays('Main Dashboard'!$B$3)</f>
        <v/>
      </c>
      <c r="D16" s="26">
        <f>StockVolatilityThirtyDays('Main Dashboard'!$B$3)</f>
        <v/>
      </c>
      <c r="E16" s="42" t="n">
        <v>0.2704</v>
      </c>
      <c r="F16" s="44" t="n">
        <v>0.0188</v>
      </c>
      <c r="G16" s="23" t="inlineStr">
        <is>
          <t>Wilder after</t>
        </is>
      </c>
    </row>
    <row r="17">
      <c r="A17" s="20" t="inlineStr">
        <is>
          <t>2025-09</t>
        </is>
      </c>
      <c r="B17" s="19" t="n">
        <v>254.63</v>
      </c>
      <c r="C17" s="16">
        <f>StockVolatilityFifteenDays('Main Dashboard'!$B$3)</f>
        <v/>
      </c>
      <c r="D17" s="16">
        <f>StockVolatilityThirtyDays('Main Dashboard'!$B$3)</f>
        <v/>
      </c>
      <c r="E17" s="29" t="n">
        <v>0.209</v>
      </c>
      <c r="F17" s="45" t="n">
        <v>-0.0432</v>
      </c>
      <c r="G17" s="20" t="inlineStr">
        <is>
          <t>Calmer after</t>
        </is>
      </c>
    </row>
    <row r="18">
      <c r="A18" s="23" t="inlineStr">
        <is>
          <t>2025-10</t>
        </is>
      </c>
      <c r="B18" s="22" t="n">
        <v>270.37</v>
      </c>
      <c r="C18" s="26">
        <f>StockVolatilityFifteenDays('Main Dashboard'!$B$3)</f>
        <v/>
      </c>
      <c r="D18" s="26">
        <f>StockVolatilityThirtyDays('Main Dashboard'!$B$3)</f>
        <v/>
      </c>
      <c r="E18" s="42" t="n">
        <v>0.1493</v>
      </c>
      <c r="F18" s="43" t="n">
        <v>-0.091</v>
      </c>
      <c r="G18" s="23" t="inlineStr">
        <is>
          <t>Calmer after</t>
        </is>
      </c>
    </row>
    <row r="19">
      <c r="A19" s="20" t="inlineStr">
        <is>
          <t>2025-11</t>
        </is>
      </c>
      <c r="B19" s="19" t="n">
        <v>278.85</v>
      </c>
      <c r="C19" s="16">
        <f>StockVolatilityFifteenDays('Main Dashboard'!$B$3)</f>
        <v/>
      </c>
      <c r="D19" s="16">
        <f>StockVolatilityThirtyDays('Main Dashboard'!$B$3)</f>
        <v/>
      </c>
      <c r="E19" s="29" t="n">
        <v>0.1219</v>
      </c>
      <c r="F19" s="45" t="n">
        <v>-0.06710000000000001</v>
      </c>
      <c r="G19" s="20" t="inlineStr">
        <is>
          <t>Calmer after</t>
        </is>
      </c>
    </row>
    <row r="20">
      <c r="A20" s="23" t="inlineStr">
        <is>
          <t>2025-12</t>
        </is>
      </c>
      <c r="B20" s="22" t="n">
        <v>271.86</v>
      </c>
      <c r="C20" s="26">
        <f>StockVolatilityFifteenDays('Main Dashboard'!$B$3)</f>
        <v/>
      </c>
      <c r="D20" s="26">
        <f>StockVolatilityThirtyDays('Main Dashboard'!$B$3)</f>
        <v/>
      </c>
      <c r="E20" s="42" t="n">
        <v>0.2758</v>
      </c>
      <c r="F20" s="44" t="n">
        <v>0.1451</v>
      </c>
      <c r="G20" s="23" t="inlineStr">
        <is>
          <t>Wilder after</t>
        </is>
      </c>
    </row>
    <row r="21">
      <c r="A21" s="20" t="inlineStr">
        <is>
          <t>2026-01</t>
        </is>
      </c>
      <c r="B21" s="19" t="n">
        <v>259.48</v>
      </c>
      <c r="C21" s="16">
        <f>StockVolatilityFifteenDays('Main Dashboard'!$B$3)</f>
        <v/>
      </c>
      <c r="D21" s="16">
        <f>StockVolatilityThirtyDays('Main Dashboard'!$B$3)</f>
        <v/>
      </c>
      <c r="E21" s="29" t="n">
        <v>0.296</v>
      </c>
      <c r="F21" s="41" t="n">
        <v>0.1241</v>
      </c>
      <c r="G21" s="20" t="inlineStr">
        <is>
          <t>Wilder after</t>
        </is>
      </c>
    </row>
    <row r="22">
      <c r="A22" s="23" t="inlineStr">
        <is>
          <t>2026-02</t>
        </is>
      </c>
      <c r="B22" s="22" t="n">
        <v>264.18</v>
      </c>
      <c r="C22" s="26">
        <f>StockVolatilityFifteenDays('Main Dashboard'!$B$3)</f>
        <v/>
      </c>
      <c r="D22" s="26">
        <f>StockVolatilityThirtyDays('Main Dashboard'!$B$3)</f>
        <v/>
      </c>
      <c r="E22" s="42" t="n">
        <v>0.1903</v>
      </c>
      <c r="F22" s="43" t="n">
        <v>-0.1229</v>
      </c>
      <c r="G22" s="23" t="inlineStr">
        <is>
          <t>Calmer after</t>
        </is>
      </c>
    </row>
    <row r="23">
      <c r="A23" s="20" t="inlineStr">
        <is>
          <t>2026-03</t>
        </is>
      </c>
      <c r="B23" s="19" t="n">
        <v>253.79</v>
      </c>
      <c r="C23" s="16">
        <f>StockVolatilityFifteenDays('Main Dashboard'!$B$3)</f>
        <v/>
      </c>
      <c r="D23" s="16">
        <f>StockVolatilityThirtyDays('Main Dashboard'!$B$3)</f>
        <v/>
      </c>
      <c r="E23" s="29" t="n">
        <v>0.2345</v>
      </c>
      <c r="F23" s="41" t="n">
        <v>0.0236</v>
      </c>
      <c r="G23" s="20" t="inlineStr">
        <is>
          <t>Wilder after</t>
        </is>
      </c>
    </row>
    <row r="24">
      <c r="A24" s="23" t="inlineStr">
        <is>
          <t>2026-04</t>
        </is>
      </c>
      <c r="B24" s="22" t="n">
        <v>271.35</v>
      </c>
      <c r="C24" s="26">
        <f>StockVolatilityFifteenDays('Main Dashboard'!$B$3)</f>
        <v/>
      </c>
      <c r="D24" s="26">
        <f>StockVolatilityThirtyDays('Main Dashboard'!$B$3)</f>
        <v/>
      </c>
      <c r="E24" s="42" t="n">
        <v>0.2434</v>
      </c>
      <c r="F24" s="44" t="n">
        <v>0.0196</v>
      </c>
      <c r="G24" s="23" t="inlineStr">
        <is>
          <t>Wilder after</t>
        </is>
      </c>
    </row>
    <row r="25">
      <c r="A25" s="20" t="inlineStr">
        <is>
          <t>2026-05</t>
        </is>
      </c>
      <c r="B25" s="19" t="n">
        <v>312.06</v>
      </c>
      <c r="C25" s="16">
        <f>StockVolatilityFifteenDays('Main Dashboard'!$B$3)</f>
        <v/>
      </c>
      <c r="D25" s="16">
        <f>StockVolatilityThirtyDays('Main Dashboard'!$B$3)</f>
        <v/>
      </c>
      <c r="E25" s="29" t="n">
        <v>0.3382</v>
      </c>
      <c r="F25" s="41" t="n">
        <v>0.1351</v>
      </c>
      <c r="G25" s="20" t="inlineStr">
        <is>
          <t>Wilder after</t>
        </is>
      </c>
    </row>
    <row r="26">
      <c r="A26" s="23" t="inlineStr">
        <is>
          <t>2026-06</t>
        </is>
      </c>
      <c r="B26" s="22" t="n">
        <v>289.36</v>
      </c>
      <c r="C26" s="26">
        <f>StockVolatilityFifteenDays('Main Dashboard'!$B$3)</f>
        <v/>
      </c>
      <c r="D26" s="26">
        <f>StockVolatilityThirtyDays('Main Dashboard'!$B$3)</f>
        <v/>
      </c>
      <c r="E26" s="42" t="n">
        <v>0.3512</v>
      </c>
      <c r="F26" s="44" t="n">
        <v>0.047</v>
      </c>
      <c r="G26" s="23" t="inlineStr">
        <is>
          <t>Wilder after</t>
        </is>
      </c>
    </row>
    <row r="27">
      <c r="A27" s="20" t="inlineStr">
        <is>
          <t>2026-07</t>
        </is>
      </c>
      <c r="B27" s="19" t="n">
        <v>308.91</v>
      </c>
      <c r="C27" s="16">
        <f>StockVolatilityFifteenDays('Main Dashboard'!$B$3)</f>
        <v/>
      </c>
      <c r="D27" s="16">
        <f>StockVolatilityThirtyDays('Main Dashboard'!$B$3)</f>
        <v/>
      </c>
      <c r="E27" s="29" t="n">
        <v>0.3206</v>
      </c>
      <c r="F27" s="45" t="n">
        <v>-0.08400000000000001</v>
      </c>
      <c r="G27" s="20" t="inlineStr">
        <is>
          <t>Calmer after</t>
        </is>
      </c>
    </row>
    <row r="28">
      <c r="A28" s="23" t="inlineStr">
        <is>
          <t>2026-08</t>
        </is>
      </c>
      <c r="B28" s="22" t="n">
        <v>305.93</v>
      </c>
      <c r="C28" s="26">
        <f>StockVolatilityFifteenDays('Main Dashboard'!$B$3)</f>
        <v/>
      </c>
      <c r="D28" s="26">
        <f>StockVolatilityThirtyDays('Main Dashboard'!$B$3)</f>
        <v/>
      </c>
      <c r="E28" s="23" t="inlineStr">
        <is>
          <t>not yet known</t>
        </is>
      </c>
      <c r="F28" s="23" t="inlineStr">
        <is>
          <t>-</t>
        </is>
      </c>
      <c r="G28" s="23" t="inlineStr">
        <is>
          <t>-</t>
        </is>
      </c>
    </row>
    <row r="30">
      <c r="A30" s="4" t="inlineStr">
        <is>
          <t>Summary of the window</t>
        </is>
      </c>
    </row>
    <row r="31">
      <c r="A31" s="3" t="inlineStr">
        <is>
          <t>Months compared: 23.</t>
        </is>
      </c>
    </row>
    <row r="32">
      <c r="A32" s="3" t="inlineStr">
        <is>
          <t>Months where the next 30 days were calmer than the trailing 30 days: 8.</t>
        </is>
      </c>
    </row>
    <row r="33">
      <c r="A33" s="3" t="inlineStr">
        <is>
          <t>Months where the next 30 days were wilder: 15.</t>
        </is>
      </c>
    </row>
    <row r="34">
      <c r="A34" s="3" t="inlineStr">
        <is>
          <t>Average change from trailing 30-day to next 30-day realized volatility: +3.09%.</t>
        </is>
      </c>
    </row>
    <row r="35">
      <c r="A35" s="3" t="inlineStr">
        <is>
          <t>A trailing volatility reading is a description of the recent past. It is a starting point for a question, not an answer about the future.</t>
        </is>
      </c>
    </row>
    <row r="37">
      <c r="A37" s="4" t="inlineStr">
        <is>
          <t>MarketXLS Functions Used in This Sheet</t>
        </is>
      </c>
    </row>
    <row r="38">
      <c r="A38" s="7" t="inlineStr">
        <is>
          <t>StockVolatilityThirtyDays(Symbol)</t>
        </is>
      </c>
      <c r="B38" s="3" t="inlineStr">
        <is>
          <t>Trailing 30-day realized volatility</t>
        </is>
      </c>
    </row>
    <row r="39">
      <c r="A39" s="7" t="inlineStr">
        <is>
          <t>StockVolatilityFifteenDays(Symbol)</t>
        </is>
      </c>
      <c r="B39" s="3" t="inlineStr">
        <is>
          <t>Trailing 15-day realized volatility</t>
        </is>
      </c>
    </row>
    <row r="40">
      <c r="A40" s="7" t="inlineStr">
        <is>
          <t>ImpliedVolatility30d(Symbol)</t>
        </is>
      </c>
      <c r="B40" s="3" t="inlineStr">
        <is>
          <t>30-day implied volatility</t>
        </is>
      </c>
    </row>
    <row r="41">
      <c r="A41" s="7" t="inlineStr">
        <is>
          <t>ImpliedVolatilityRank1y(Symbol)</t>
        </is>
      </c>
      <c r="B41" s="3" t="inlineStr">
        <is>
          <t>Implied volatility rank over one year</t>
        </is>
      </c>
    </row>
    <row r="42">
      <c r="A42" s="7" t="inlineStr">
        <is>
          <t>ImpliedVolatilityPct1y(Symbol)</t>
        </is>
      </c>
      <c r="B42" s="3" t="inlineStr">
        <is>
          <t>Implied volatility percentile over one year</t>
        </is>
      </c>
    </row>
    <row r="43">
      <c r="A43" s="7" t="inlineStr">
        <is>
          <t>Close_Historical(Symbol, Date)</t>
        </is>
      </c>
      <c r="B43" s="3" t="inlineStr">
        <is>
          <t>Underlying close on a past date</t>
        </is>
      </c>
    </row>
    <row r="44">
      <c r="A44" s="7" t="inlineStr">
        <is>
          <t>OPT_ImpliedVolatilityHistorical(Symbol, OnDate)</t>
        </is>
      </c>
      <c r="B44" s="3" t="inlineStr">
        <is>
          <t>Implied volatility on a past date</t>
        </is>
      </c>
    </row>
    <row r="46">
      <c r="A46" s="8" t="inlineStr">
        <is>
          <t>Powered by MarketXLS   |   https://marketxls.com   |   Book a demo: https://marketxls.com/book-demo</t>
        </is>
      </c>
    </row>
  </sheetData>
  <mergeCells count="17">
    <mergeCell ref="A30:H30"/>
    <mergeCell ref="B40:H40"/>
    <mergeCell ref="A35:H35"/>
    <mergeCell ref="B41:H41"/>
    <mergeCell ref="B42:H42"/>
    <mergeCell ref="A46:H46"/>
    <mergeCell ref="B44:H44"/>
    <mergeCell ref="A2:H2"/>
    <mergeCell ref="B43:H43"/>
    <mergeCell ref="B39:H39"/>
    <mergeCell ref="B38:H38"/>
    <mergeCell ref="A33:H33"/>
    <mergeCell ref="A1:H1"/>
    <mergeCell ref="A37:H37"/>
    <mergeCell ref="A32:H32"/>
    <mergeCell ref="A31:H31"/>
    <mergeCell ref="A34:H3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2026-08-15T17:20:27Z</dcterms:created>
  <dcterms:modified xsi:type="dcterms:W3CDTF">2026-08-15T17:20:27Z</dcterms:modified>
</cp:coreProperties>
</file>