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omments/comment2.xml" ContentType="application/vnd.openxmlformats-officedocument.spreadsheetml.comment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Main Dashboard" sheetId="2" state="visible" r:id="rId2"/>
    <sheet name="Payoff &amp; Breakeven" sheetId="3" state="visible" r:id="rId3"/>
    <sheet name="Scenario Analysis" sheetId="4" state="visible" r:id="rId4"/>
    <sheet name="Strike Comparison" sheetId="5" state="visible" r:id="rId5"/>
    <sheet name="Position Sizing" sheetId="6" state="visible" r:id="rId6"/>
    <sheet name="Greeks &amp; Time Decay" sheetId="7" state="visible" r:id="rId7"/>
    <sheet name="Watchlis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&quot;$&quot;#,##0.00"/>
    <numFmt numFmtId="165" formatCode="yyyy-mm-dd"/>
    <numFmt numFmtId="166" formatCode="#,##0.0000"/>
    <numFmt numFmtId="167" formatCode="&quot;$&quot;#,##0"/>
    <numFmt numFmtId="168" formatCode="0.0%"/>
  </numFmts>
  <fonts count="18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FFFFFF"/>
      <sz val="10"/>
    </font>
    <font>
      <b val="1"/>
      <color rgb="00003366"/>
      <sz val="11"/>
    </font>
    <font>
      <sz val="10"/>
    </font>
    <font>
      <b val="1"/>
      <color rgb="00FFFFFF"/>
      <sz val="10"/>
    </font>
    <font>
      <b val="1"/>
      <sz val="10"/>
    </font>
    <font>
      <color rgb="000563C1"/>
      <sz val="10"/>
      <u val="single"/>
    </font>
    <font>
      <name val="Consolas"/>
      <color rgb="00003366"/>
      <sz val="9"/>
    </font>
    <font>
      <color rgb="005B6670"/>
      <sz val="9"/>
    </font>
    <font>
      <i val="1"/>
      <color rgb="00FFFFFF"/>
      <sz val="9"/>
    </font>
    <font>
      <b val="1"/>
      <sz val="11"/>
    </font>
    <font>
      <b val="1"/>
      <color rgb="00003366"/>
      <sz val="10"/>
    </font>
    <font>
      <color rgb="00000000"/>
      <sz val="10"/>
    </font>
    <font>
      <b val="1"/>
      <color rgb="00000000"/>
      <sz val="10"/>
    </font>
    <font>
      <b val="1"/>
      <color rgb="00C0392B"/>
      <sz val="11"/>
    </font>
    <font>
      <b val="1"/>
      <color rgb="001E8449"/>
      <sz val="11"/>
    </font>
    <font>
      <b val="1"/>
      <color rgb="001E8449"/>
      <sz val="12"/>
    </font>
  </fonts>
  <fills count="8">
    <fill>
      <patternFill/>
    </fill>
    <fill>
      <patternFill patternType="gray125"/>
    </fill>
    <fill>
      <patternFill patternType="solid">
        <fgColor rgb="00003366"/>
      </patternFill>
    </fill>
    <fill>
      <patternFill patternType="solid">
        <fgColor rgb="000066CC"/>
      </patternFill>
    </fill>
    <fill>
      <patternFill patternType="solid">
        <fgColor rgb="00EEF4FB"/>
      </patternFill>
    </fill>
    <fill>
      <patternFill patternType="solid">
        <fgColor rgb="00F4F6F8"/>
      </patternFill>
    </fill>
    <fill>
      <patternFill patternType="solid">
        <fgColor rgb="00FFFF00"/>
      </patternFill>
    </fill>
    <fill>
      <patternFill patternType="solid">
        <fgColor rgb="00FFF3B0"/>
      </patternFill>
    </fill>
  </fills>
  <borders count="3">
    <border>
      <left/>
      <right/>
      <top/>
      <bottom/>
      <diagonal/>
    </border>
    <border>
      <left style="thin">
        <color rgb="00D9DEE4"/>
      </left>
      <right style="thin">
        <color rgb="00D9DEE4"/>
      </right>
      <top style="thin">
        <color rgb="00D9DEE4"/>
      </top>
      <bottom style="thin">
        <color rgb="00D9DEE4"/>
      </bottom>
    </border>
    <border>
      <left style="medium">
        <color rgb="00003366"/>
      </left>
      <right style="medium">
        <color rgb="00003366"/>
      </right>
      <top style="medium">
        <color rgb="00003366"/>
      </top>
      <bottom style="medium">
        <color rgb="00003366"/>
      </bottom>
    </border>
  </borders>
  <cellStyleXfs count="1">
    <xf numFmtId="0" fontId="0" fillId="0" borderId="0"/>
  </cellStyleXfs>
  <cellXfs count="5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4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left" vertical="top" wrapText="1" indent="1"/>
    </xf>
    <xf numFmtId="0" fontId="5" fillId="3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left" vertical="center" wrapText="1" indent="1"/>
    </xf>
    <xf numFmtId="0" fontId="4" fillId="5" borderId="1" applyAlignment="1" pivotButton="0" quotePrefix="0" xfId="0">
      <alignment horizontal="left" vertical="center" wrapText="1" indent="1"/>
    </xf>
    <xf numFmtId="0" fontId="6" fillId="0" borderId="1" applyAlignment="1" pivotButton="0" quotePrefix="0" xfId="0">
      <alignment horizontal="left" vertical="center" wrapText="1" indent="1"/>
    </xf>
    <xf numFmtId="0" fontId="4" fillId="0" borderId="1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7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left" vertical="center" indent="1"/>
    </xf>
    <xf numFmtId="0" fontId="9" fillId="0" borderId="1" applyAlignment="1" pivotButton="0" quotePrefix="0" xfId="0">
      <alignment horizontal="left" vertical="center" indent="1"/>
    </xf>
    <xf numFmtId="0" fontId="10" fillId="2" borderId="0" applyAlignment="1" pivotButton="0" quotePrefix="0" xfId="0">
      <alignment horizontal="center" vertical="center"/>
    </xf>
    <xf numFmtId="0" fontId="11" fillId="6" borderId="2" applyAlignment="1" pivotButton="0" quotePrefix="0" xfId="0">
      <alignment horizontal="right" vertical="center"/>
    </xf>
    <xf numFmtId="166" fontId="12" fillId="0" borderId="1" applyAlignment="1" pivotButton="0" quotePrefix="0" xfId="0">
      <alignment horizontal="right" vertical="center"/>
    </xf>
    <xf numFmtId="164" fontId="12" fillId="0" borderId="1" applyAlignment="1" pivotButton="0" quotePrefix="0" xfId="0">
      <alignment horizontal="right" vertical="center"/>
    </xf>
    <xf numFmtId="164" fontId="11" fillId="6" borderId="2" applyAlignment="1" pivotButton="0" quotePrefix="0" xfId="0">
      <alignment horizontal="right" vertical="center"/>
    </xf>
    <xf numFmtId="165" fontId="11" fillId="6" borderId="2" applyAlignment="1" pivotButton="0" quotePrefix="0" xfId="0">
      <alignment horizontal="right" vertical="center"/>
    </xf>
    <xf numFmtId="3" fontId="12" fillId="0" borderId="1" applyAlignment="1" pivotButton="0" quotePrefix="0" xfId="0">
      <alignment horizontal="right" vertical="center"/>
    </xf>
    <xf numFmtId="3" fontId="11" fillId="6" borderId="2" applyAlignment="1" pivotButton="0" quotePrefix="0" xfId="0">
      <alignment horizontal="right" vertical="center"/>
    </xf>
    <xf numFmtId="4" fontId="12" fillId="0" borderId="1" applyAlignment="1" pivotButton="0" quotePrefix="0" xfId="0">
      <alignment horizontal="right" vertical="center"/>
    </xf>
    <xf numFmtId="10" fontId="11" fillId="6" borderId="2" applyAlignment="1" pivotButton="0" quotePrefix="0" xfId="0">
      <alignment horizontal="right" vertical="center"/>
    </xf>
    <xf numFmtId="10" fontId="13" fillId="0" borderId="1" applyAlignment="1" pivotButton="0" quotePrefix="0" xfId="0">
      <alignment horizontal="right" vertical="center"/>
    </xf>
    <xf numFmtId="4" fontId="13" fillId="0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right" vertical="center"/>
    </xf>
    <xf numFmtId="166" fontId="13" fillId="0" borderId="1" applyAlignment="1" pivotButton="0" quotePrefix="0" xfId="0">
      <alignment horizontal="right" vertical="center"/>
    </xf>
    <xf numFmtId="3" fontId="13" fillId="0" borderId="1" applyAlignment="1" pivotButton="0" quotePrefix="0" xfId="0">
      <alignment horizontal="right" vertical="center"/>
    </xf>
    <xf numFmtId="0" fontId="13" fillId="0" borderId="1" applyAlignment="1" pivotButton="0" quotePrefix="0" xfId="0">
      <alignment horizontal="right" vertical="center"/>
    </xf>
    <xf numFmtId="164" fontId="13" fillId="0" borderId="1" applyAlignment="1" pivotButton="0" quotePrefix="0" xfId="0">
      <alignment horizontal="right" vertical="center"/>
    </xf>
    <xf numFmtId="164" fontId="15" fillId="0" borderId="1" applyAlignment="1" pivotButton="0" quotePrefix="0" xfId="0">
      <alignment horizontal="right" vertical="center"/>
    </xf>
    <xf numFmtId="164" fontId="16" fillId="0" borderId="1" applyAlignment="1" pivotButton="0" quotePrefix="0" xfId="0">
      <alignment horizontal="right" vertical="center"/>
    </xf>
    <xf numFmtId="10" fontId="14" fillId="0" borderId="1" applyAlignment="1" pivotButton="0" quotePrefix="0" xfId="0">
      <alignment horizontal="right" vertical="center"/>
    </xf>
    <xf numFmtId="164" fontId="14" fillId="0" borderId="1" applyAlignment="1" pivotButton="0" quotePrefix="0" xfId="0">
      <alignment horizontal="right" vertical="center"/>
    </xf>
    <xf numFmtId="167" fontId="13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 indent="1"/>
    </xf>
    <xf numFmtId="168" fontId="14" fillId="0" borderId="1" applyAlignment="1" pivotButton="0" quotePrefix="0" xfId="0">
      <alignment horizontal="right" vertical="center"/>
    </xf>
    <xf numFmtId="164" fontId="13" fillId="7" borderId="1" applyAlignment="1" pivotButton="0" quotePrefix="0" xfId="0">
      <alignment horizontal="right" vertical="center"/>
    </xf>
    <xf numFmtId="10" fontId="13" fillId="7" borderId="1" applyAlignment="1" pivotButton="0" quotePrefix="0" xfId="0">
      <alignment horizontal="right" vertical="center"/>
    </xf>
    <xf numFmtId="164" fontId="14" fillId="7" borderId="1" applyAlignment="1" pivotButton="0" quotePrefix="0" xfId="0">
      <alignment horizontal="right" vertical="center"/>
    </xf>
    <xf numFmtId="168" fontId="14" fillId="7" borderId="1" applyAlignment="1" pivotButton="0" quotePrefix="0" xfId="0">
      <alignment horizontal="right" vertical="center"/>
    </xf>
    <xf numFmtId="0" fontId="14" fillId="0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 wrapText="1"/>
    </xf>
    <xf numFmtId="164" fontId="14" fillId="5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 wrapText="1"/>
    </xf>
    <xf numFmtId="164" fontId="13" fillId="5" borderId="1" applyAlignment="1" pivotButton="0" quotePrefix="0" xfId="0">
      <alignment horizontal="right" vertical="center"/>
    </xf>
    <xf numFmtId="10" fontId="13" fillId="5" borderId="1" applyAlignment="1" pivotButton="0" quotePrefix="0" xfId="0">
      <alignment horizontal="right" vertical="center"/>
    </xf>
    <xf numFmtId="166" fontId="13" fillId="5" borderId="1" applyAlignment="1" pivotButton="0" quotePrefix="0" xfId="0">
      <alignment horizontal="right" vertical="center"/>
    </xf>
    <xf numFmtId="3" fontId="13" fillId="5" borderId="1" applyAlignment="1" pivotButton="0" quotePrefix="0" xfId="0">
      <alignment horizontal="right" vertical="center"/>
    </xf>
    <xf numFmtId="167" fontId="11" fillId="6" borderId="2" applyAlignment="1" pivotButton="0" quotePrefix="0" xfId="0">
      <alignment horizontal="right" vertical="center"/>
    </xf>
    <xf numFmtId="168" fontId="11" fillId="6" borderId="2" applyAlignment="1" pivotButton="0" quotePrefix="0" xfId="0">
      <alignment horizontal="right" vertical="center"/>
    </xf>
    <xf numFmtId="168" fontId="13" fillId="0" borderId="1" applyAlignment="1" pivotButton="0" quotePrefix="0" xfId="0">
      <alignment horizontal="right" vertical="center"/>
    </xf>
    <xf numFmtId="3" fontId="17" fillId="0" borderId="1" applyAlignment="1" pivotButton="0" quotePrefix="0" xfId="0">
      <alignment horizontal="right" vertical="center"/>
    </xf>
    <xf numFmtId="3" fontId="14" fillId="0" borderId="1" applyAlignment="1" pivotButton="0" quotePrefix="0" xfId="0">
      <alignment horizontal="right" vertical="center"/>
    </xf>
    <xf numFmtId="166" fontId="14" fillId="0" borderId="1" applyAlignment="1" pivotButton="0" quotePrefix="0" xfId="0">
      <alignment horizontal="right" vertical="center"/>
    </xf>
    <xf numFmtId="0" fontId="12" fillId="0" borderId="1" applyAlignment="1" pivotButton="0" quotePrefix="0" xfId="0">
      <alignment horizontal="center" vertical="center" wrapText="1"/>
    </xf>
    <xf numFmtId="0" fontId="12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omments/comment1.xml><?xml version="1.0" encoding="utf-8"?>
<comments xmlns="http://schemas.openxmlformats.org/spreadsheetml/2006/main">
  <authors>
    <author>MarketXLS</author>
  </authors>
  <commentList>
    <comment ref="B5" authorId="0" shapeId="0">
      <text>
        <t>Type any ticker, for example AAPL or SPY</t>
      </text>
    </comment>
    <comment ref="B7" authorId="0" shapeId="0">
      <text>
        <t>The strike you intend to buy</t>
      </text>
    </comment>
    <comment ref="B8" authorId="0" shapeId="0">
      <text>
        <t>Contract expiration date</t>
      </text>
    </comment>
    <comment ref="B10" authorId="0" shapeId="0">
      <text>
        <t>One contract controls 100 shares</t>
      </text>
    </comment>
    <comment ref="B13" authorId="0" shapeId="0">
      <text>
        <t>Short term Treasury yield</t>
      </text>
    </comment>
    <comment ref="B14" authorId="0" shapeId="0">
      <text>
        <t>Continuous dividend yield</t>
      </text>
    </comment>
    <comment ref="B15" authorId="0" shapeId="0">
      <text>
        <t>Your broker commission</t>
      </text>
    </comment>
    <comment ref="B16" authorId="0" shapeId="0">
      <text>
        <t>The price you are modelling</t>
      </text>
    </comment>
  </commentList>
</comments>
</file>

<file path=xl/comments/comment2.xml><?xml version="1.0" encoding="utf-8"?>
<comments xmlns="http://schemas.openxmlformats.org/spreadsheetml/2006/main">
  <authors>
    <author>MarketXLS</author>
  </authors>
  <commentList>
    <comment ref="B5" authorId="0" shapeId="0">
      <text>
        <t>Total account value</t>
      </text>
    </comment>
    <comment ref="B6" authorId="0" shapeId="0">
      <text>
        <t>Share of the account you accept losing on this trade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rketxls.com" TargetMode="External" Id="rId1" /><Relationship Type="http://schemas.openxmlformats.org/officeDocument/2006/relationships/hyperlink" Target="https://marketxls.com/book-demo" TargetMode="External" Id="rId2" /><Relationship Type="http://schemas.openxmlformats.org/officeDocument/2006/relationships/hyperlink" Target="https://optionxls.com" TargetMode="External" Id="rId3" /><Relationship Type="http://schemas.openxmlformats.org/officeDocument/2006/relationships/hyperlink" Target="https://marketxls.com/pricing" TargetMode="External" Id="rId4" /></Relationships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sheet1.xml><?xml version="1.0" encoding="utf-8"?>
<worksheet xmlns="http://schemas.openxmlformats.org/spreadsheetml/2006/main">
  <sheetPr>
    <tabColor rgb="00003366"/>
    <outlinePr summaryBelow="1" summaryRight="1"/>
    <pageSetUpPr/>
  </sheetPr>
  <dimension ref="A1:D4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66" customWidth="1" min="2" max="2"/>
    <col width="34" customWidth="1" min="3" max="3"/>
    <col width="22" customWidth="1" min="4" max="4"/>
  </cols>
  <sheetData>
    <row r="1" ht="30" customHeight="1">
      <c r="A1" s="1" t="inlineStr">
        <is>
          <t>Call Option Profit Calculator</t>
        </is>
      </c>
    </row>
    <row r="2" ht="20" customHeight="1">
      <c r="A2" s="2" t="inlineStr">
        <is>
          <t>Live MarketXLS formula workbook</t>
        </is>
      </c>
    </row>
    <row r="4" ht="22" customHeight="1">
      <c r="A4" s="3" t="inlineStr">
        <is>
          <t>What this workbook does</t>
        </is>
      </c>
    </row>
    <row r="5" ht="32" customHeight="1">
      <c r="A5" s="4" t="inlineStr">
        <is>
          <t>A call option profit calculator answers four questions before you risk money: what the position costs, where it breaks even, what it makes at a target price, and how fast time decay works against it.</t>
        </is>
      </c>
    </row>
    <row r="6" ht="32" customHeight="1">
      <c r="A6" s="4" t="inlineStr">
        <is>
          <t>Every number flows from the yellow input cells on the Main Dashboard. Change the symbol, strike, expiry or contract count and every sheet updates.</t>
        </is>
      </c>
    </row>
    <row r="7" ht="32" customHeight="1">
      <c r="A7" s="4" t="inlineStr">
        <is>
          <t>The template version pulls the spot price, the option quote and the Greeks straight from MarketXLS, so the workbook re-prices itself on every refresh.</t>
        </is>
      </c>
    </row>
    <row r="8" ht="32" customHeight="1">
      <c r="A8" s="4" t="inlineStr">
        <is>
          <t>This workbook is an educational modelling tool. It is not financial advice and it does not recommend any trade.</t>
        </is>
      </c>
    </row>
    <row r="10" ht="22" customHeight="1">
      <c r="A10" s="3" t="inlineStr">
        <is>
          <t>Sheet guide</t>
        </is>
      </c>
    </row>
    <row r="11" ht="30" customHeight="1">
      <c r="A11" s="5" t="inlineStr">
        <is>
          <t>Sheet</t>
        </is>
      </c>
      <c r="B11" s="5" t="inlineStr">
        <is>
          <t>What it shows</t>
        </is>
      </c>
      <c r="C11" s="5" t="inlineStr">
        <is>
          <t>Change this</t>
        </is>
      </c>
      <c r="D11" s="5" t="inlineStr">
        <is>
          <t>Read this</t>
        </is>
      </c>
    </row>
    <row r="12" ht="30" customHeight="1">
      <c r="A12" s="6" t="inlineStr">
        <is>
          <t>Main Dashboard</t>
        </is>
      </c>
      <c r="B12" s="7" t="inlineStr">
        <is>
          <t>Inputs, position cost, breakeven, max loss and the five Greeks.</t>
        </is>
      </c>
      <c r="C12" s="7" t="inlineStr">
        <is>
          <t>Every yellow cell</t>
        </is>
      </c>
      <c r="D12" s="7" t="inlineStr">
        <is>
          <t>Breakeven and Max Loss</t>
        </is>
      </c>
    </row>
    <row r="13" ht="30" customHeight="1">
      <c r="A13" s="8" t="inlineStr">
        <is>
          <t>Payoff &amp; Breakeven</t>
        </is>
      </c>
      <c r="B13" s="9" t="inlineStr">
        <is>
          <t>Profit and loss at expiration across a ladder of underlying prices.</t>
        </is>
      </c>
      <c r="C13" s="9" t="inlineStr">
        <is>
          <t>Nothing, it is derived</t>
        </is>
      </c>
      <c r="D13" s="9" t="inlineStr">
        <is>
          <t>The row that turns positive</t>
        </is>
      </c>
    </row>
    <row r="14" ht="30" customHeight="1">
      <c r="A14" s="6" t="inlineStr">
        <is>
          <t>Scenario Analysis</t>
        </is>
      </c>
      <c r="B14" s="7" t="inlineStr">
        <is>
          <t>Pre-expiry value grid: underlying price against days held.</t>
        </is>
      </c>
      <c r="C14" s="7" t="inlineStr">
        <is>
          <t>Nothing, it is derived</t>
        </is>
      </c>
      <c r="D14" s="7" t="inlineStr">
        <is>
          <t>How much value time removes</t>
        </is>
      </c>
    </row>
    <row r="15" ht="30" customHeight="1">
      <c r="A15" s="8" t="inlineStr">
        <is>
          <t>Strike Comparison</t>
        </is>
      </c>
      <c r="B15" s="9" t="inlineStr">
        <is>
          <t>Ten strikes side by side: cost, breakeven, delta and move required.</t>
        </is>
      </c>
      <c r="C15" s="9" t="inlineStr">
        <is>
          <t>Strike ladder column A</t>
        </is>
      </c>
      <c r="D15" s="9" t="inlineStr">
        <is>
          <t>Percent move needed to break even</t>
        </is>
      </c>
    </row>
    <row r="16" ht="30" customHeight="1">
      <c r="A16" s="6" t="inlineStr">
        <is>
          <t>Position Sizing</t>
        </is>
      </c>
      <c r="B16" s="7" t="inlineStr">
        <is>
          <t>Contract count from portfolio size and a risk budget.</t>
        </is>
      </c>
      <c r="C16" s="7" t="inlineStr">
        <is>
          <t>Portfolio value and risk percent</t>
        </is>
      </c>
      <c r="D16" s="7" t="inlineStr">
        <is>
          <t>Max contracts at your risk limit</t>
        </is>
      </c>
    </row>
    <row r="17" ht="30" customHeight="1">
      <c r="A17" s="8" t="inlineStr">
        <is>
          <t>Greeks &amp; Time Decay</t>
        </is>
      </c>
      <c r="B17" s="9" t="inlineStr">
        <is>
          <t>Daily theta path and the Greeks as expiry approaches.</t>
        </is>
      </c>
      <c r="C17" s="9" t="inlineStr">
        <is>
          <t>Nothing, it is derived</t>
        </is>
      </c>
      <c r="D17" s="9" t="inlineStr">
        <is>
          <t>Theta acceleration in the last two weeks</t>
        </is>
      </c>
    </row>
    <row r="18" ht="30" customHeight="1">
      <c r="A18" s="6" t="inlineStr">
        <is>
          <t>Watchlist</t>
        </is>
      </c>
      <c r="B18" s="7" t="inlineStr">
        <is>
          <t>Eight liquid names with implied volatility and put/call ratios.</t>
        </is>
      </c>
      <c r="C18" s="7" t="inlineStr">
        <is>
          <t>Tickers in column A</t>
        </is>
      </c>
      <c r="D18" s="7" t="inlineStr">
        <is>
          <t>Implied volatility versus realized</t>
        </is>
      </c>
    </row>
    <row r="20" ht="22" customHeight="1">
      <c r="A20" s="3" t="inlineStr">
        <is>
          <t>Step by step</t>
        </is>
      </c>
    </row>
    <row r="21">
      <c r="A21" s="10" t="inlineStr">
        <is>
          <t>1. Open the Main Dashboard sheet.</t>
        </is>
      </c>
    </row>
    <row r="22">
      <c r="A22" s="10" t="inlineStr">
        <is>
          <t>2. Type the underlying ticker in the yellow Symbol cell.</t>
        </is>
      </c>
    </row>
    <row r="23">
      <c r="A23" s="10" t="inlineStr">
        <is>
          <t>3. Type the strike price you are considering.</t>
        </is>
      </c>
    </row>
    <row r="24">
      <c r="A24" s="10" t="inlineStr">
        <is>
          <t>4. Type the expiry date in the yellow Expiry cell.</t>
        </is>
      </c>
    </row>
    <row r="25">
      <c r="A25" s="10" t="inlineStr">
        <is>
          <t>5. Type the number of contracts you intend to buy.</t>
        </is>
      </c>
    </row>
    <row r="26">
      <c r="A26" s="10" t="inlineStr">
        <is>
          <t>6. The template pulls the option ask price automatically. Overwrite it only if your broker fills you elsewhere.</t>
        </is>
      </c>
    </row>
    <row r="27">
      <c r="A27" s="10" t="inlineStr">
        <is>
          <t>7. Read the Breakeven cell. It is the strike plus every cost per share.</t>
        </is>
      </c>
    </row>
    <row r="28">
      <c r="A28" s="10" t="inlineStr">
        <is>
          <t>8. Read the Max Loss cell. A long call cannot lose more than this amount.</t>
        </is>
      </c>
    </row>
    <row r="29">
      <c r="A29" s="10" t="inlineStr">
        <is>
          <t>9. Open Payoff &amp; Breakeven to see profit and loss across underlying prices.</t>
        </is>
      </c>
    </row>
    <row r="30">
      <c r="A30" s="10" t="inlineStr">
        <is>
          <t>10. Open Scenario Analysis to see the value before expiration, not only at expiration.</t>
        </is>
      </c>
    </row>
    <row r="32" ht="22" customHeight="1">
      <c r="A32" s="3" t="inlineStr">
        <is>
          <t>Links</t>
        </is>
      </c>
    </row>
    <row r="33">
      <c r="A33" s="8" t="inlineStr">
        <is>
          <t>MarketXLS</t>
        </is>
      </c>
      <c r="B33" s="11" t="inlineStr">
        <is>
          <t>https://marketxls.com</t>
        </is>
      </c>
    </row>
    <row r="34">
      <c r="A34" s="8" t="inlineStr">
        <is>
          <t>Book a demo</t>
        </is>
      </c>
      <c r="B34" s="11" t="inlineStr">
        <is>
          <t>https://marketxls.com/book-demo</t>
        </is>
      </c>
    </row>
    <row r="35">
      <c r="A35" s="8" t="inlineStr">
        <is>
          <t>OptionXLS strategy library</t>
        </is>
      </c>
      <c r="B35" s="11" t="inlineStr">
        <is>
          <t>https://optionxls.com</t>
        </is>
      </c>
    </row>
    <row r="36">
      <c r="A36" s="8" t="inlineStr">
        <is>
          <t>MarketXLS pricing</t>
        </is>
      </c>
      <c r="B36" s="11" t="inlineStr">
        <is>
          <t>https://marketxls.com/pricing</t>
        </is>
      </c>
    </row>
    <row r="38" ht="22" customHeight="1">
      <c r="A38" s="3" t="inlineStr">
        <is>
          <t>MarketXLS Functions Used in This Sheet</t>
        </is>
      </c>
    </row>
    <row r="39">
      <c r="A39" s="12">
        <f>QM_Last("AAPL")</f>
        <v/>
      </c>
      <c r="B39" s="13" t="inlineStr">
        <is>
          <t>Last traded price of the underlying</t>
        </is>
      </c>
    </row>
    <row r="40">
      <c r="A40" s="12">
        <f>OptionSymbol("AAPL",DATE(2026,9,18),"Call",310)</f>
        <v/>
      </c>
      <c r="B40" s="13" t="inlineStr">
        <is>
          <t>Builds the option contract symbol</t>
        </is>
      </c>
    </row>
    <row r="41">
      <c r="A41" s="12">
        <f>Option_Ask(symbol)</f>
        <v/>
      </c>
      <c r="B41" s="13" t="inlineStr">
        <is>
          <t>Ask price of the call contract</t>
        </is>
      </c>
    </row>
    <row r="42">
      <c r="A42" s="12">
        <f>opt_Delta(spot,price,expiry,"Call",strike)</f>
        <v/>
      </c>
      <c r="B42" s="13" t="inlineStr">
        <is>
          <t>Delta of the call</t>
        </is>
      </c>
    </row>
    <row r="43">
      <c r="A43" s="12">
        <f>ImpliedVolatility30d("AAPL")</f>
        <v/>
      </c>
      <c r="B43" s="13" t="inlineStr">
        <is>
          <t>30 day implied volatility, decimal</t>
        </is>
      </c>
    </row>
    <row r="45" ht="20" customHeight="1">
      <c r="A45" s="14" t="inlineStr">
        <is>
          <t>Powered by MarketXLS   |   https://marketxls.com   |   Book a demo: https://marketxls.com/book-demo   |   https://optionxls.com</t>
        </is>
      </c>
    </row>
  </sheetData>
  <mergeCells count="27">
    <mergeCell ref="A5:D5"/>
    <mergeCell ref="A23:D23"/>
    <mergeCell ref="B42:D42"/>
    <mergeCell ref="A8:D8"/>
    <mergeCell ref="A22:D22"/>
    <mergeCell ref="A4:D4"/>
    <mergeCell ref="A20:D20"/>
    <mergeCell ref="A38:D38"/>
    <mergeCell ref="A29:D29"/>
    <mergeCell ref="A10:D10"/>
    <mergeCell ref="A28:D28"/>
    <mergeCell ref="A30:D30"/>
    <mergeCell ref="B40:D40"/>
    <mergeCell ref="A24:D24"/>
    <mergeCell ref="A1:D1"/>
    <mergeCell ref="A45:D45"/>
    <mergeCell ref="A6:D6"/>
    <mergeCell ref="B41:D41"/>
    <mergeCell ref="A7:D7"/>
    <mergeCell ref="A25:D25"/>
    <mergeCell ref="A27:D27"/>
    <mergeCell ref="A26:D26"/>
    <mergeCell ref="A21:D21"/>
    <mergeCell ref="A2:D2"/>
    <mergeCell ref="B43:D43"/>
    <mergeCell ref="B39:D39"/>
    <mergeCell ref="A32:D32"/>
  </mergeCells>
  <hyperlinks>
    <hyperlink xmlns:r="http://schemas.openxmlformats.org/officeDocument/2006/relationships" ref="B33" r:id="rId1"/>
    <hyperlink xmlns:r="http://schemas.openxmlformats.org/officeDocument/2006/relationships" ref="B34" r:id="rId2"/>
    <hyperlink xmlns:r="http://schemas.openxmlformats.org/officeDocument/2006/relationships" ref="B35" r:id="rId3"/>
    <hyperlink xmlns:r="http://schemas.openxmlformats.org/officeDocument/2006/relationships" ref="B36" r:id="rId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066CC"/>
    <outlinePr summaryBelow="1" summaryRight="1"/>
    <pageSetUpPr/>
  </sheetPr>
  <dimension ref="A1:F5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8" customWidth="1" min="2" max="2"/>
    <col width="3" customWidth="1" min="3" max="3"/>
    <col width="30" customWidth="1" min="4" max="4"/>
    <col width="18" customWidth="1" min="5" max="5"/>
    <col width="44" customWidth="1" min="6" max="6"/>
  </cols>
  <sheetData>
    <row r="1" ht="30" customHeight="1">
      <c r="A1" s="1" t="inlineStr">
        <is>
          <t>Main Dashboard - Long Call Position</t>
        </is>
      </c>
    </row>
    <row r="2" ht="20" customHeight="1">
      <c r="A2" s="2" t="inlineStr">
        <is>
          <t>Yellow cells are inputs. Everything else is calculated.</t>
        </is>
      </c>
    </row>
    <row r="4" ht="22" customHeight="1">
      <c r="A4" s="3" t="inlineStr">
        <is>
          <t>Position Inputs</t>
        </is>
      </c>
      <c r="D4" s="3" t="inlineStr">
        <is>
          <t>Live Greeks</t>
        </is>
      </c>
    </row>
    <row r="5">
      <c r="A5" s="8" t="inlineStr">
        <is>
          <t>Underlying symbol</t>
        </is>
      </c>
      <c r="B5" s="15" t="inlineStr">
        <is>
          <t>AAPL</t>
        </is>
      </c>
      <c r="D5" s="8" t="inlineStr">
        <is>
          <t>Delta (per share)</t>
        </is>
      </c>
      <c r="E5" s="16">
        <f>opt_Delta($B$6,$B$11,$B$8,"Call",$B$7)</f>
        <v/>
      </c>
    </row>
    <row r="6">
      <c r="A6" s="8" t="inlineStr">
        <is>
          <t>Underlying price ($)</t>
        </is>
      </c>
      <c r="B6" s="17">
        <f>QM_Last($B$5)</f>
        <v/>
      </c>
      <c r="D6" s="8" t="inlineStr">
        <is>
          <t>Gamma</t>
        </is>
      </c>
      <c r="E6" s="16">
        <f>opt_Gamma($B$6,$B$11,$B$8,"Call",$B$7)</f>
        <v/>
      </c>
    </row>
    <row r="7">
      <c r="A7" s="8" t="inlineStr">
        <is>
          <t>Strike price ($)</t>
        </is>
      </c>
      <c r="B7" s="18" t="n">
        <v>310</v>
      </c>
      <c r="D7" s="8" t="inlineStr">
        <is>
          <t>Theta (per share, per day)</t>
        </is>
      </c>
      <c r="E7" s="16">
        <f>opt_Theta($B$6,$B$11,$B$8,"Call",$B$7)</f>
        <v/>
      </c>
    </row>
    <row r="8">
      <c r="A8" s="8" t="inlineStr">
        <is>
          <t>Expiry date</t>
        </is>
      </c>
      <c r="B8" s="19" t="n">
        <v>46283</v>
      </c>
      <c r="D8" s="8" t="inlineStr">
        <is>
          <t>Vega (per 1 vol point)</t>
        </is>
      </c>
      <c r="E8" s="16">
        <f>opt_Vega($B$6,$B$11,$B$8,"Call",$B$7)</f>
        <v/>
      </c>
    </row>
    <row r="9">
      <c r="A9" s="8" t="inlineStr">
        <is>
          <t>Days to expiry</t>
        </is>
      </c>
      <c r="B9" s="20">
        <f>$B$8-TODAY()</f>
        <v/>
      </c>
      <c r="D9" s="8" t="inlineStr">
        <is>
          <t>Rho (per 1 rate point)</t>
        </is>
      </c>
      <c r="E9" s="16">
        <f>opt_Rho($B$6,$B$11,$B$8,"Call",$B$7)</f>
        <v/>
      </c>
    </row>
    <row r="10">
      <c r="A10" s="8" t="inlineStr">
        <is>
          <t>Contracts</t>
        </is>
      </c>
      <c r="B10" s="21" t="n">
        <v>5</v>
      </c>
      <c r="D10" s="8" t="inlineStr">
        <is>
          <t>Position delta (shares)</t>
        </is>
      </c>
      <c r="E10" s="22">
        <f>$E$5*$B$21</f>
        <v/>
      </c>
    </row>
    <row r="11">
      <c r="A11" s="8" t="inlineStr">
        <is>
          <t>Premium paid per share ($)</t>
        </is>
      </c>
      <c r="B11" s="17">
        <f>Option_Ask($B$17)</f>
        <v/>
      </c>
      <c r="D11" s="8" t="inlineStr">
        <is>
          <t>Position theta ($ per day)</t>
        </is>
      </c>
      <c r="E11" s="17">
        <f>$E$7*$B$21</f>
        <v/>
      </c>
    </row>
    <row r="12">
      <c r="A12" s="8" t="inlineStr">
        <is>
          <t>Implied volatility (decimal)</t>
        </is>
      </c>
      <c r="B12" s="16">
        <f>opt_ImpliedVolatility($B$6,$B$11,$B$8,"Call",$B$7)</f>
        <v/>
      </c>
    </row>
    <row r="13" ht="22" customHeight="1">
      <c r="A13" s="8" t="inlineStr">
        <is>
          <t>Risk free rate (decimal)</t>
        </is>
      </c>
      <c r="B13" s="23" t="n">
        <v>0.04</v>
      </c>
      <c r="D13" s="3" t="inlineStr">
        <is>
          <t>Volatility &amp; Flow Context</t>
        </is>
      </c>
    </row>
    <row r="14">
      <c r="A14" s="8" t="inlineStr">
        <is>
          <t>Dividend yield (decimal)</t>
        </is>
      </c>
      <c r="B14" s="23" t="n">
        <v>0.004</v>
      </c>
      <c r="D14" s="9" t="inlineStr">
        <is>
          <t>Implied volatility 30d</t>
        </is>
      </c>
      <c r="E14" s="24">
        <f>ImpliedVolatility30d($B$5)</f>
        <v/>
      </c>
    </row>
    <row r="15">
      <c r="A15" s="8" t="inlineStr">
        <is>
          <t>Commission per contract ($)</t>
        </is>
      </c>
      <c r="B15" s="18" t="n">
        <v>0.65</v>
      </c>
      <c r="D15" s="9" t="inlineStr">
        <is>
          <t>Implied volatility rank 1y</t>
        </is>
      </c>
      <c r="E15" s="25">
        <f>ImpliedVolatilityRank1y($B$5)</f>
        <v/>
      </c>
    </row>
    <row r="16">
      <c r="A16" s="8" t="inlineStr">
        <is>
          <t>Target underlying price ($)</t>
        </is>
      </c>
      <c r="B16" s="18" t="n">
        <v>330</v>
      </c>
      <c r="D16" s="9" t="inlineStr">
        <is>
          <t>Realized volatility 30d</t>
        </is>
      </c>
      <c r="E16" s="24">
        <f>StockVolatilityThirtyDays($B$5)</f>
        <v/>
      </c>
    </row>
    <row r="17">
      <c r="A17" s="8" t="inlineStr">
        <is>
          <t>Option contract symbol</t>
        </is>
      </c>
      <c r="B17" s="26">
        <f>OptionSymbol($B$5,$B$8,"Call",$B$7)</f>
        <v/>
      </c>
      <c r="D17" s="9" t="inlineStr">
        <is>
          <t>Put / call volume ratio</t>
        </is>
      </c>
      <c r="E17" s="27">
        <f>opt_PutCallVolRatio($B$5)</f>
        <v/>
      </c>
    </row>
    <row r="18">
      <c r="D18" s="9" t="inlineStr">
        <is>
          <t>Put / call open interest ratio</t>
        </is>
      </c>
      <c r="E18" s="27">
        <f>opt_PutCallOIRatio($B$5)</f>
        <v/>
      </c>
    </row>
    <row r="19">
      <c r="D19" s="9" t="inlineStr">
        <is>
          <t>Contract open interest</t>
        </is>
      </c>
      <c r="E19" s="28">
        <f>Option_Openinterest($B$17)</f>
        <v/>
      </c>
    </row>
    <row r="20" ht="22" customHeight="1">
      <c r="A20" s="3" t="inlineStr">
        <is>
          <t>Position Economics</t>
        </is>
      </c>
      <c r="D20" s="9" t="inlineStr">
        <is>
          <t>Contract volume</t>
        </is>
      </c>
      <c r="E20" s="28">
        <f>Option_Volume($B$17)</f>
        <v/>
      </c>
    </row>
    <row r="21">
      <c r="A21" s="9" t="inlineStr">
        <is>
          <t>Shares controlled</t>
        </is>
      </c>
      <c r="B21" s="28">
        <f>$B$10*100</f>
        <v/>
      </c>
      <c r="D21" s="9" t="inlineStr">
        <is>
          <t>Next earnings date</t>
        </is>
      </c>
      <c r="E21" s="29">
        <f>earnings_date($B$5)</f>
        <v/>
      </c>
    </row>
    <row r="22">
      <c r="A22" s="9" t="inlineStr">
        <is>
          <t>Gross premium ($)</t>
        </is>
      </c>
      <c r="B22" s="30">
        <f>$B$11*$B$21</f>
        <v/>
      </c>
    </row>
    <row r="23">
      <c r="A23" s="9" t="inlineStr">
        <is>
          <t>Commission total ($)</t>
        </is>
      </c>
      <c r="B23" s="30">
        <f>$B$15*$B$10</f>
        <v/>
      </c>
    </row>
    <row r="24">
      <c r="A24" s="8" t="inlineStr">
        <is>
          <t>Total cost / max loss ($)</t>
        </is>
      </c>
      <c r="B24" s="31">
        <f>$B$22+$B$23</f>
        <v/>
      </c>
    </row>
    <row r="25">
      <c r="A25" s="9" t="inlineStr">
        <is>
          <t>All in cost per share ($)</t>
        </is>
      </c>
      <c r="B25" s="30">
        <f>$B$24/$B$21</f>
        <v/>
      </c>
    </row>
    <row r="26">
      <c r="A26" s="8" t="inlineStr">
        <is>
          <t>Breakeven at expiry ($)</t>
        </is>
      </c>
      <c r="B26" s="32">
        <f>$B$7+$B$25</f>
        <v/>
      </c>
    </row>
    <row r="27">
      <c r="A27" s="8" t="inlineStr">
        <is>
          <t>Move required to breakeven</t>
        </is>
      </c>
      <c r="B27" s="33">
        <f>($B$26-$B$6)/$B$6</f>
        <v/>
      </c>
    </row>
    <row r="28">
      <c r="A28" s="9" t="inlineStr">
        <is>
          <t>Maximum loss ($)</t>
        </is>
      </c>
      <c r="B28" s="31">
        <f>$B$24</f>
        <v/>
      </c>
    </row>
    <row r="29">
      <c r="A29" s="8" t="inlineStr">
        <is>
          <t>P/L at target, at expiry ($)</t>
        </is>
      </c>
      <c r="B29" s="34">
        <f>MAX(0,$B$16-$B$7)*$B$21-$B$24</f>
        <v/>
      </c>
    </row>
    <row r="30">
      <c r="A30" s="9" t="inlineStr">
        <is>
          <t>Notional controlled ($)</t>
        </is>
      </c>
      <c r="B30" s="35">
        <f>$B$6*$B$21</f>
        <v/>
      </c>
    </row>
    <row r="31">
      <c r="A31" s="9" t="inlineStr">
        <is>
          <t>Leverage (notional / cost)</t>
        </is>
      </c>
      <c r="B31" s="25">
        <f>$B$30/$B$24</f>
        <v/>
      </c>
    </row>
    <row r="33" ht="22" customHeight="1">
      <c r="A33" s="3" t="inlineStr">
        <is>
          <t>How to read this sheet</t>
        </is>
      </c>
    </row>
    <row r="34">
      <c r="A34" s="36" t="inlineStr">
        <is>
          <t>Breakeven is the strike plus every cost per share. Below it the call expires worthless.</t>
        </is>
      </c>
    </row>
    <row r="35">
      <c r="A35" s="36" t="inlineStr">
        <is>
          <t>Maximum loss is fixed at the total cost. A long call carries no obligation to buy the shares.</t>
        </is>
      </c>
    </row>
    <row r="36">
      <c r="A36" s="36" t="inlineStr">
        <is>
          <t>Position theta is the dollar value the position loses each calendar day if nothing else changes.</t>
        </is>
      </c>
    </row>
    <row r="37">
      <c r="A37" s="36" t="inlineStr">
        <is>
          <t>Leverage shows how much stock the premium controls. Higher leverage cuts both ways.</t>
        </is>
      </c>
    </row>
    <row r="39" ht="22" customHeight="1">
      <c r="A39" s="3" t="inlineStr">
        <is>
          <t>MarketXLS Functions Used in This Sheet</t>
        </is>
      </c>
    </row>
    <row r="40">
      <c r="A40" s="12">
        <f>QM_Last("AAPL")</f>
        <v/>
      </c>
      <c r="B40" s="13" t="inlineStr">
        <is>
          <t>Underlying last price</t>
        </is>
      </c>
    </row>
    <row r="41">
      <c r="A41" s="12">
        <f>OptionSymbol(sym,expiry,"Call",strike)</f>
        <v/>
      </c>
      <c r="B41" s="13" t="inlineStr">
        <is>
          <t>Builds the contract symbol used below</t>
        </is>
      </c>
    </row>
    <row r="42">
      <c r="A42" s="12">
        <f>Option_Ask(symbol)</f>
        <v/>
      </c>
      <c r="B42" s="13" t="inlineStr">
        <is>
          <t>Ask price of the call contract</t>
        </is>
      </c>
    </row>
    <row r="43">
      <c r="A43" s="12">
        <f>Option_Openinterest(symbol)</f>
        <v/>
      </c>
      <c r="B43" s="13" t="inlineStr">
        <is>
          <t>Open interest on that contract</t>
        </is>
      </c>
    </row>
    <row r="44">
      <c r="A44" s="12">
        <f>Option_Volume(symbol)</f>
        <v/>
      </c>
      <c r="B44" s="13" t="inlineStr">
        <is>
          <t>Contracts traded today</t>
        </is>
      </c>
    </row>
    <row r="45">
      <c r="A45" s="12">
        <f>opt_Delta(spot,price,expiry,"Call",strike)</f>
        <v/>
      </c>
      <c r="B45" s="13" t="inlineStr">
        <is>
          <t>Delta, change in option value per $1 of stock</t>
        </is>
      </c>
    </row>
    <row r="46">
      <c r="A46" s="12">
        <f>opt_Gamma(spot,price,expiry,"Call",strike)</f>
        <v/>
      </c>
      <c r="B46" s="13" t="inlineStr">
        <is>
          <t>Gamma, change in delta per $1 of stock</t>
        </is>
      </c>
    </row>
    <row r="47">
      <c r="A47" s="12">
        <f>opt_Theta(spot,price,expiry,"Call",strike)</f>
        <v/>
      </c>
      <c r="B47" s="13" t="inlineStr">
        <is>
          <t>Theta, value lost per day</t>
        </is>
      </c>
    </row>
    <row r="48">
      <c r="A48" s="12">
        <f>opt_Vega(spot,price,expiry,"Call",strike)</f>
        <v/>
      </c>
      <c r="B48" s="13" t="inlineStr">
        <is>
          <t>Vega, value gained per volatility point</t>
        </is>
      </c>
    </row>
    <row r="49">
      <c r="A49" s="12">
        <f>opt_Rho(spot,price,expiry,"Call",strike)</f>
        <v/>
      </c>
      <c r="B49" s="13" t="inlineStr">
        <is>
          <t>Rho, sensitivity to interest rates</t>
        </is>
      </c>
    </row>
    <row r="50">
      <c r="A50" s="12">
        <f>opt_ImpliedVolatility(spot,price,expiry,"Call",strike)</f>
        <v/>
      </c>
      <c r="B50" s="13" t="inlineStr">
        <is>
          <t>Implied volatility of the contract</t>
        </is>
      </c>
    </row>
    <row r="51">
      <c r="A51" s="12">
        <f>ImpliedVolatility30d("AAPL")</f>
        <v/>
      </c>
      <c r="B51" s="13" t="inlineStr">
        <is>
          <t>30 day implied volatility, decimal</t>
        </is>
      </c>
    </row>
    <row r="52">
      <c r="A52" s="12">
        <f>ImpliedVolatilityRank1y("AAPL")</f>
        <v/>
      </c>
      <c r="B52" s="13" t="inlineStr">
        <is>
          <t>Where implied volatility sits in its 1 year range</t>
        </is>
      </c>
    </row>
    <row r="53">
      <c r="A53" s="12">
        <f>StockVolatilityThirtyDays("AAPL")</f>
        <v/>
      </c>
      <c r="B53" s="13" t="inlineStr">
        <is>
          <t>30 day realized volatility</t>
        </is>
      </c>
    </row>
    <row r="54">
      <c r="A54" s="12">
        <f>opt_PutCallVolRatio("AAPL")</f>
        <v/>
      </c>
      <c r="B54" s="13" t="inlineStr">
        <is>
          <t>Put volume divided by call volume</t>
        </is>
      </c>
    </row>
    <row r="55">
      <c r="A55" s="12">
        <f>opt_PutCallOIRatio("AAPL")</f>
        <v/>
      </c>
      <c r="B55" s="13" t="inlineStr">
        <is>
          <t>Put open interest divided by call open interest</t>
        </is>
      </c>
    </row>
    <row r="56">
      <c r="A56" s="12">
        <f>earnings_date("AAPL")</f>
        <v/>
      </c>
      <c r="B56" s="13" t="inlineStr">
        <is>
          <t>Next scheduled earnings date</t>
        </is>
      </c>
    </row>
    <row r="58" ht="20" customHeight="1">
      <c r="A58" s="14" t="inlineStr">
        <is>
          <t>Powered by MarketXLS   |   https://marketxls.com   |   Book a demo: https://marketxls.com/book-demo   |   https://optionxls.com</t>
        </is>
      </c>
    </row>
  </sheetData>
  <mergeCells count="30">
    <mergeCell ref="D13:F13"/>
    <mergeCell ref="B47:F47"/>
    <mergeCell ref="B54:F54"/>
    <mergeCell ref="A37:F37"/>
    <mergeCell ref="B46:F46"/>
    <mergeCell ref="B56:F56"/>
    <mergeCell ref="B52:F52"/>
    <mergeCell ref="A2:F2"/>
    <mergeCell ref="A33:F33"/>
    <mergeCell ref="B43:F43"/>
    <mergeCell ref="B48:F48"/>
    <mergeCell ref="B42:F42"/>
    <mergeCell ref="D4:F4"/>
    <mergeCell ref="A35:F35"/>
    <mergeCell ref="B44:F44"/>
    <mergeCell ref="B53:F53"/>
    <mergeCell ref="A58:F58"/>
    <mergeCell ref="A34:F34"/>
    <mergeCell ref="A39:F39"/>
    <mergeCell ref="B40:F40"/>
    <mergeCell ref="B49:F49"/>
    <mergeCell ref="A4:B4"/>
    <mergeCell ref="A20:B20"/>
    <mergeCell ref="B55:F55"/>
    <mergeCell ref="A36:F36"/>
    <mergeCell ref="A1:F1"/>
    <mergeCell ref="B51:F51"/>
    <mergeCell ref="B45:F45"/>
    <mergeCell ref="B50:F50"/>
    <mergeCell ref="B41:F41"/>
  </mergeCells>
  <dataValidations count="1">
    <dataValidation sqref="B7 B10 B11 B16" showDropDown="0" showInputMessage="0" showErrorMessage="1" allowBlank="0" errorTitle="Invalid input" error="Enter a positive number." type="decimal" operator="greaterThan">
      <formula1>0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1E8449"/>
    <outlinePr summaryBelow="1" summaryRight="1"/>
    <pageSetUpPr/>
  </sheetPr>
  <dimension ref="A1:G3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20" customWidth="1" min="3" max="3"/>
    <col width="20" customWidth="1" min="4" max="4"/>
    <col width="20" customWidth="1" min="5" max="5"/>
    <col width="20" customWidth="1" min="6" max="6"/>
    <col width="26" customWidth="1" min="7" max="7"/>
  </cols>
  <sheetData>
    <row r="1" ht="30" customHeight="1">
      <c r="A1" s="1" t="inlineStr">
        <is>
          <t>Payoff &amp; Breakeven at Expiration</t>
        </is>
      </c>
    </row>
    <row r="2" ht="20" customHeight="1">
      <c r="A2" s="2" t="inlineStr">
        <is>
          <t>Profit and loss if the call is held to the last trading day</t>
        </is>
      </c>
    </row>
    <row r="4" ht="30" customHeight="1">
      <c r="A4" s="5" t="inlineStr">
        <is>
          <t>Underlying at expiry ($)</t>
        </is>
      </c>
      <c r="B4" s="5" t="inlineStr">
        <is>
          <t>Move from today</t>
        </is>
      </c>
      <c r="C4" s="5" t="inlineStr">
        <is>
          <t>Intrinsic value / share ($)</t>
        </is>
      </c>
      <c r="D4" s="5" t="inlineStr">
        <is>
          <t>Contract value ($)</t>
        </is>
      </c>
      <c r="E4" s="5" t="inlineStr">
        <is>
          <t>Total cost ($)</t>
        </is>
      </c>
      <c r="F4" s="5" t="inlineStr">
        <is>
          <t>Profit / loss ($)</t>
        </is>
      </c>
      <c r="G4" s="5" t="inlineStr">
        <is>
          <t>Return on premium</t>
        </is>
      </c>
    </row>
    <row r="5">
      <c r="A5" s="30" t="n">
        <v>260.04</v>
      </c>
      <c r="B5" s="24">
        <f>(A5-'Main Dashboard'!$B$6)/'Main Dashboard'!$B$6</f>
        <v/>
      </c>
      <c r="C5" s="30">
        <f>MAX(0,A5-'Main Dashboard'!$B$7)</f>
        <v/>
      </c>
      <c r="D5" s="30">
        <f>C5*'Main Dashboard'!$B$21</f>
        <v/>
      </c>
      <c r="E5" s="30">
        <f>'Main Dashboard'!$B$24</f>
        <v/>
      </c>
      <c r="F5" s="34">
        <f>D5-E5</f>
        <v/>
      </c>
      <c r="G5" s="37">
        <f>F5/E5</f>
        <v/>
      </c>
    </row>
    <row r="6">
      <c r="A6" s="30" t="n">
        <v>275.34</v>
      </c>
      <c r="B6" s="24">
        <f>(A6-'Main Dashboard'!$B$6)/'Main Dashboard'!$B$6</f>
        <v/>
      </c>
      <c r="C6" s="30">
        <f>MAX(0,A6-'Main Dashboard'!$B$7)</f>
        <v/>
      </c>
      <c r="D6" s="30">
        <f>C6*'Main Dashboard'!$B$21</f>
        <v/>
      </c>
      <c r="E6" s="30">
        <f>'Main Dashboard'!$B$24</f>
        <v/>
      </c>
      <c r="F6" s="34">
        <f>D6-E6</f>
        <v/>
      </c>
      <c r="G6" s="37">
        <f>F6/E6</f>
        <v/>
      </c>
    </row>
    <row r="7">
      <c r="A7" s="30" t="n">
        <v>290.63</v>
      </c>
      <c r="B7" s="24">
        <f>(A7-'Main Dashboard'!$B$6)/'Main Dashboard'!$B$6</f>
        <v/>
      </c>
      <c r="C7" s="30">
        <f>MAX(0,A7-'Main Dashboard'!$B$7)</f>
        <v/>
      </c>
      <c r="D7" s="30">
        <f>C7*'Main Dashboard'!$B$21</f>
        <v/>
      </c>
      <c r="E7" s="30">
        <f>'Main Dashboard'!$B$24</f>
        <v/>
      </c>
      <c r="F7" s="34">
        <f>D7-E7</f>
        <v/>
      </c>
      <c r="G7" s="37">
        <f>F7/E7</f>
        <v/>
      </c>
    </row>
    <row r="8">
      <c r="A8" s="30" t="n">
        <v>305.93</v>
      </c>
      <c r="B8" s="24">
        <f>(A8-'Main Dashboard'!$B$6)/'Main Dashboard'!$B$6</f>
        <v/>
      </c>
      <c r="C8" s="30">
        <f>MAX(0,A8-'Main Dashboard'!$B$7)</f>
        <v/>
      </c>
      <c r="D8" s="30">
        <f>C8*'Main Dashboard'!$B$21</f>
        <v/>
      </c>
      <c r="E8" s="30">
        <f>'Main Dashboard'!$B$24</f>
        <v/>
      </c>
      <c r="F8" s="34">
        <f>D8-E8</f>
        <v/>
      </c>
      <c r="G8" s="37">
        <f>F8/E8</f>
        <v/>
      </c>
    </row>
    <row r="9">
      <c r="A9" s="30" t="n">
        <v>310.03</v>
      </c>
      <c r="B9" s="24">
        <f>(A9-'Main Dashboard'!$B$6)/'Main Dashboard'!$B$6</f>
        <v/>
      </c>
      <c r="C9" s="30">
        <f>MAX(0,A9-'Main Dashboard'!$B$7)</f>
        <v/>
      </c>
      <c r="D9" s="30">
        <f>C9*'Main Dashboard'!$B$21</f>
        <v/>
      </c>
      <c r="E9" s="30">
        <f>'Main Dashboard'!$B$24</f>
        <v/>
      </c>
      <c r="F9" s="34">
        <f>D9-E9</f>
        <v/>
      </c>
      <c r="G9" s="37">
        <f>F9/E9</f>
        <v/>
      </c>
    </row>
    <row r="10">
      <c r="A10" s="38" t="n">
        <v>317.2065</v>
      </c>
      <c r="B10" s="39">
        <f>(A10-'Main Dashboard'!$B$6)/'Main Dashboard'!$B$6</f>
        <v/>
      </c>
      <c r="C10" s="38">
        <f>MAX(0,A10-'Main Dashboard'!$B$7)</f>
        <v/>
      </c>
      <c r="D10" s="38">
        <f>C10*'Main Dashboard'!$B$21</f>
        <v/>
      </c>
      <c r="E10" s="38">
        <f>'Main Dashboard'!$B$24</f>
        <v/>
      </c>
      <c r="F10" s="40">
        <f>D10-E10</f>
        <v/>
      </c>
      <c r="G10" s="41">
        <f>F10/E10</f>
        <v/>
      </c>
    </row>
    <row r="11">
      <c r="A11" s="30" t="n">
        <v>321.23</v>
      </c>
      <c r="B11" s="24">
        <f>(A11-'Main Dashboard'!$B$6)/'Main Dashboard'!$B$6</f>
        <v/>
      </c>
      <c r="C11" s="30">
        <f>MAX(0,A11-'Main Dashboard'!$B$7)</f>
        <v/>
      </c>
      <c r="D11" s="30">
        <f>C11*'Main Dashboard'!$B$21</f>
        <v/>
      </c>
      <c r="E11" s="30">
        <f>'Main Dashboard'!$B$24</f>
        <v/>
      </c>
      <c r="F11" s="34">
        <f>D11-E11</f>
        <v/>
      </c>
      <c r="G11" s="37">
        <f>F11/E11</f>
        <v/>
      </c>
    </row>
    <row r="12">
      <c r="A12" s="30" t="n">
        <v>336.52</v>
      </c>
      <c r="B12" s="24">
        <f>(A12-'Main Dashboard'!$B$6)/'Main Dashboard'!$B$6</f>
        <v/>
      </c>
      <c r="C12" s="30">
        <f>MAX(0,A12-'Main Dashboard'!$B$7)</f>
        <v/>
      </c>
      <c r="D12" s="30">
        <f>C12*'Main Dashboard'!$B$21</f>
        <v/>
      </c>
      <c r="E12" s="30">
        <f>'Main Dashboard'!$B$24</f>
        <v/>
      </c>
      <c r="F12" s="34">
        <f>D12-E12</f>
        <v/>
      </c>
      <c r="G12" s="37">
        <f>F12/E12</f>
        <v/>
      </c>
    </row>
    <row r="13">
      <c r="A13" s="30" t="n">
        <v>351.82</v>
      </c>
      <c r="B13" s="24">
        <f>(A13-'Main Dashboard'!$B$6)/'Main Dashboard'!$B$6</f>
        <v/>
      </c>
      <c r="C13" s="30">
        <f>MAX(0,A13-'Main Dashboard'!$B$7)</f>
        <v/>
      </c>
      <c r="D13" s="30">
        <f>C13*'Main Dashboard'!$B$21</f>
        <v/>
      </c>
      <c r="E13" s="30">
        <f>'Main Dashboard'!$B$24</f>
        <v/>
      </c>
      <c r="F13" s="34">
        <f>D13-E13</f>
        <v/>
      </c>
      <c r="G13" s="37">
        <f>F13/E13</f>
        <v/>
      </c>
    </row>
    <row r="14">
      <c r="A14" s="30" t="n">
        <v>367.12</v>
      </c>
      <c r="B14" s="24">
        <f>(A14-'Main Dashboard'!$B$6)/'Main Dashboard'!$B$6</f>
        <v/>
      </c>
      <c r="C14" s="30">
        <f>MAX(0,A14-'Main Dashboard'!$B$7)</f>
        <v/>
      </c>
      <c r="D14" s="30">
        <f>C14*'Main Dashboard'!$B$21</f>
        <v/>
      </c>
      <c r="E14" s="30">
        <f>'Main Dashboard'!$B$24</f>
        <v/>
      </c>
      <c r="F14" s="34">
        <f>D14-E14</f>
        <v/>
      </c>
      <c r="G14" s="37">
        <f>F14/E14</f>
        <v/>
      </c>
    </row>
    <row r="16" ht="22" customHeight="1">
      <c r="A16" s="3" t="inlineStr">
        <is>
          <t>Key levels</t>
        </is>
      </c>
    </row>
    <row r="17">
      <c r="A17" s="8" t="inlineStr">
        <is>
          <t>Breakeven price</t>
        </is>
      </c>
      <c r="B17" s="34">
        <f>'Main Dashboard'!$B$26</f>
        <v/>
      </c>
    </row>
    <row r="18">
      <c r="A18" s="8" t="inlineStr">
        <is>
          <t>Move required from today</t>
        </is>
      </c>
      <c r="B18" s="33">
        <f>'Main Dashboard'!$B$27</f>
        <v/>
      </c>
    </row>
    <row r="19">
      <c r="A19" s="8" t="inlineStr">
        <is>
          <t>Maximum loss (below strike)</t>
        </is>
      </c>
      <c r="B19" s="34">
        <f>-'Main Dashboard'!$B$24</f>
        <v/>
      </c>
    </row>
    <row r="20">
      <c r="A20" s="8" t="inlineStr">
        <is>
          <t>Strike price</t>
        </is>
      </c>
      <c r="B20" s="34">
        <f>'Main Dashboard'!$B$7</f>
        <v/>
      </c>
    </row>
    <row r="21">
      <c r="A21" s="8" t="inlineStr">
        <is>
          <t>Maximum gain</t>
        </is>
      </c>
      <c r="B21" s="42" t="inlineStr">
        <is>
          <t>Theoretically unlimited above breakeven</t>
        </is>
      </c>
    </row>
    <row r="23" ht="22" customHeight="1">
      <c r="A23" s="3" t="inlineStr">
        <is>
          <t>What this table does not show</t>
        </is>
      </c>
    </row>
    <row r="24">
      <c r="A24" s="36" t="inlineStr">
        <is>
          <t>This grid prices the option at expiration only. Before expiration a long call is worth more than its intrinsic value, because time value remains.</t>
        </is>
      </c>
    </row>
    <row r="25">
      <c r="A25" s="36" t="inlineStr">
        <is>
          <t>Use the Scenario Analysis sheet for the value of the position before the last trading day.</t>
        </is>
      </c>
    </row>
    <row r="26">
      <c r="A26" s="36" t="inlineStr">
        <is>
          <t>Assignment, early exercise and dividends are excluded. This is an educational model.</t>
        </is>
      </c>
    </row>
    <row r="28" ht="22" customHeight="1">
      <c r="A28" s="3" t="inlineStr">
        <is>
          <t>MarketXLS Functions Used in This Sheet</t>
        </is>
      </c>
    </row>
    <row r="29">
      <c r="A29" s="12">
        <f>QM_Last("AAPL")</f>
        <v/>
      </c>
      <c r="B29" s="13" t="inlineStr">
        <is>
          <t>Underlying price that anchors the move column</t>
        </is>
      </c>
    </row>
    <row r="30">
      <c r="A30" s="12">
        <f>Option_Ask(symbol)</f>
        <v/>
      </c>
      <c r="B30" s="13" t="inlineStr">
        <is>
          <t>Premium that sets the cost and the breakeven</t>
        </is>
      </c>
    </row>
    <row r="31">
      <c r="A31" s="12">
        <f>MAX(0,price-strike)</f>
        <v/>
      </c>
      <c r="B31" s="13" t="inlineStr">
        <is>
          <t>Intrinsic value of a call at expiration</t>
        </is>
      </c>
    </row>
    <row r="33" ht="20" customHeight="1">
      <c r="A33" s="14" t="inlineStr">
        <is>
          <t>Powered by MarketXLS   |   https://marketxls.com   |   Book a demo: https://marketxls.com/book-demo   |   https://optionxls.com</t>
        </is>
      </c>
    </row>
  </sheetData>
  <mergeCells count="17">
    <mergeCell ref="B21:C21"/>
    <mergeCell ref="A1:G1"/>
    <mergeCell ref="B19:C19"/>
    <mergeCell ref="B20:C20"/>
    <mergeCell ref="B31:G31"/>
    <mergeCell ref="A25:G25"/>
    <mergeCell ref="A26:G26"/>
    <mergeCell ref="A24:G24"/>
    <mergeCell ref="A16:G16"/>
    <mergeCell ref="A2:G2"/>
    <mergeCell ref="B17:C17"/>
    <mergeCell ref="B18:C18"/>
    <mergeCell ref="B30:G30"/>
    <mergeCell ref="A33:G33"/>
    <mergeCell ref="B29:G29"/>
    <mergeCell ref="A28:G28"/>
    <mergeCell ref="A23:G23"/>
  </mergeCells>
  <conditionalFormatting sqref="F5:F14">
    <cfRule type="colorScale" priority="1">
      <colorScale>
        <cfvo type="min"/>
        <cfvo type="num" val="0"/>
        <cfvo type="max"/>
        <color rgb="00F8B4B4"/>
        <color rgb="00FFFFFF"/>
        <color rgb="00B7E1CD"/>
      </colorScale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E67E22"/>
    <outlinePr summaryBelow="1" summaryRight="1"/>
    <pageSetUpPr/>
  </sheetPr>
  <dimension ref="A1:H33"/>
  <sheetViews>
    <sheetView showGridLines="0" workbookViewId="0">
      <pane xSplit="1" ySplit="5" topLeftCell="B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20" customWidth="1" min="8" max="8"/>
  </cols>
  <sheetData>
    <row r="1" ht="30" customHeight="1">
      <c r="A1" s="1" t="inlineStr">
        <is>
          <t>Scenario Analysis - Value Before Expiration</t>
        </is>
      </c>
    </row>
    <row r="2" ht="20" customHeight="1">
      <c r="A2" s="2" t="inlineStr">
        <is>
          <t>Black-Scholes value of the position across price and time held</t>
        </is>
      </c>
    </row>
    <row r="4" ht="22" customHeight="1">
      <c r="A4" s="3" t="inlineStr">
        <is>
          <t>Position value ($) by underlying price and days held</t>
        </is>
      </c>
    </row>
    <row r="5" ht="30" customHeight="1">
      <c r="A5" s="5" t="inlineStr">
        <is>
          <t>Underlying price ($)</t>
        </is>
      </c>
      <c r="B5" s="5" t="inlineStr">
        <is>
          <t>Day 0</t>
        </is>
      </c>
      <c r="C5" s="5" t="inlineStr">
        <is>
          <t>Day 7</t>
        </is>
      </c>
      <c r="D5" s="5" t="inlineStr">
        <is>
          <t>Day 14</t>
        </is>
      </c>
      <c r="E5" s="5" t="inlineStr">
        <is>
          <t>Day 21</t>
        </is>
      </c>
      <c r="F5" s="5" t="inlineStr">
        <is>
          <t>Day 28</t>
        </is>
      </c>
      <c r="G5" s="5" t="inlineStr">
        <is>
          <t>Expiry (day 34)</t>
        </is>
      </c>
    </row>
    <row r="6">
      <c r="A6" s="34" t="n">
        <v>275.34</v>
      </c>
      <c r="B6" s="30">
        <f>($A6*EXP(-'Main Dashboard'!$B$14*(34/365))*NORMSDIST(((LN($A6/'Main Dashboard'!$B$7)+('Main Dashboard'!$B$13-'Main Dashboard'!$B$14+'Main Dashboard'!$B$12^2/2)*(34/365))/('Main Dashboard'!$B$12*SQRT((34/365)))))-'Main Dashboard'!$B$7*EXP(-'Main Dashboard'!$B$13*(34/365))*NORMSDIST((((LN($A6/'Main Dashboard'!$B$7)+('Main Dashboard'!$B$13-'Main Dashboard'!$B$14+'Main Dashboard'!$B$12^2/2)*(34/365))/('Main Dashboard'!$B$12*SQRT((34/365))))-'Main Dashboard'!$B$12*SQRT((34/365)))))*'Main Dashboard'!$B$21</f>
        <v/>
      </c>
      <c r="C6" s="30">
        <f>($A6*EXP(-'Main Dashboard'!$B$14*(27/365))*NORMSDIST(((LN($A6/'Main Dashboard'!$B$7)+('Main Dashboard'!$B$13-'Main Dashboard'!$B$14+'Main Dashboard'!$B$12^2/2)*(27/365))/('Main Dashboard'!$B$12*SQRT((27/365)))))-'Main Dashboard'!$B$7*EXP(-'Main Dashboard'!$B$13*(27/365))*NORMSDIST((((LN($A6/'Main Dashboard'!$B$7)+('Main Dashboard'!$B$13-'Main Dashboard'!$B$14+'Main Dashboard'!$B$12^2/2)*(27/365))/('Main Dashboard'!$B$12*SQRT((27/365))))-'Main Dashboard'!$B$12*SQRT((27/365)))))*'Main Dashboard'!$B$21</f>
        <v/>
      </c>
      <c r="D6" s="30">
        <f>($A6*EXP(-'Main Dashboard'!$B$14*(20/365))*NORMSDIST(((LN($A6/'Main Dashboard'!$B$7)+('Main Dashboard'!$B$13-'Main Dashboard'!$B$14+'Main Dashboard'!$B$12^2/2)*(20/365))/('Main Dashboard'!$B$12*SQRT((20/365)))))-'Main Dashboard'!$B$7*EXP(-'Main Dashboard'!$B$13*(20/365))*NORMSDIST((((LN($A6/'Main Dashboard'!$B$7)+('Main Dashboard'!$B$13-'Main Dashboard'!$B$14+'Main Dashboard'!$B$12^2/2)*(20/365))/('Main Dashboard'!$B$12*SQRT((20/365))))-'Main Dashboard'!$B$12*SQRT((20/365)))))*'Main Dashboard'!$B$21</f>
        <v/>
      </c>
      <c r="E6" s="30">
        <f>($A6*EXP(-'Main Dashboard'!$B$14*(13/365))*NORMSDIST(((LN($A6/'Main Dashboard'!$B$7)+('Main Dashboard'!$B$13-'Main Dashboard'!$B$14+'Main Dashboard'!$B$12^2/2)*(13/365))/('Main Dashboard'!$B$12*SQRT((13/365)))))-'Main Dashboard'!$B$7*EXP(-'Main Dashboard'!$B$13*(13/365))*NORMSDIST((((LN($A6/'Main Dashboard'!$B$7)+('Main Dashboard'!$B$13-'Main Dashboard'!$B$14+'Main Dashboard'!$B$12^2/2)*(13/365))/('Main Dashboard'!$B$12*SQRT((13/365))))-'Main Dashboard'!$B$12*SQRT((13/365)))))*'Main Dashboard'!$B$21</f>
        <v/>
      </c>
      <c r="F6" s="30">
        <f>($A6*EXP(-'Main Dashboard'!$B$14*(6/365))*NORMSDIST(((LN($A6/'Main Dashboard'!$B$7)+('Main Dashboard'!$B$13-'Main Dashboard'!$B$14+'Main Dashboard'!$B$12^2/2)*(6/365))/('Main Dashboard'!$B$12*SQRT((6/365)))))-'Main Dashboard'!$B$7*EXP(-'Main Dashboard'!$B$13*(6/365))*NORMSDIST((((LN($A6/'Main Dashboard'!$B$7)+('Main Dashboard'!$B$13-'Main Dashboard'!$B$14+'Main Dashboard'!$B$12^2/2)*(6/365))/('Main Dashboard'!$B$12*SQRT((6/365))))-'Main Dashboard'!$B$12*SQRT((6/365)))))*'Main Dashboard'!$B$21</f>
        <v/>
      </c>
      <c r="G6" s="30">
        <f>MAX(0,$A6-'Main Dashboard'!$B$7)*'Main Dashboard'!$B$21</f>
        <v/>
      </c>
    </row>
    <row r="7">
      <c r="A7" s="34" t="n">
        <v>290.63</v>
      </c>
      <c r="B7" s="30">
        <f>($A7*EXP(-'Main Dashboard'!$B$14*(34/365))*NORMSDIST(((LN($A7/'Main Dashboard'!$B$7)+('Main Dashboard'!$B$13-'Main Dashboard'!$B$14+'Main Dashboard'!$B$12^2/2)*(34/365))/('Main Dashboard'!$B$12*SQRT((34/365)))))-'Main Dashboard'!$B$7*EXP(-'Main Dashboard'!$B$13*(34/365))*NORMSDIST((((LN($A7/'Main Dashboard'!$B$7)+('Main Dashboard'!$B$13-'Main Dashboard'!$B$14+'Main Dashboard'!$B$12^2/2)*(34/365))/('Main Dashboard'!$B$12*SQRT((34/365))))-'Main Dashboard'!$B$12*SQRT((34/365)))))*'Main Dashboard'!$B$21</f>
        <v/>
      </c>
      <c r="C7" s="30">
        <f>($A7*EXP(-'Main Dashboard'!$B$14*(27/365))*NORMSDIST(((LN($A7/'Main Dashboard'!$B$7)+('Main Dashboard'!$B$13-'Main Dashboard'!$B$14+'Main Dashboard'!$B$12^2/2)*(27/365))/('Main Dashboard'!$B$12*SQRT((27/365)))))-'Main Dashboard'!$B$7*EXP(-'Main Dashboard'!$B$13*(27/365))*NORMSDIST((((LN($A7/'Main Dashboard'!$B$7)+('Main Dashboard'!$B$13-'Main Dashboard'!$B$14+'Main Dashboard'!$B$12^2/2)*(27/365))/('Main Dashboard'!$B$12*SQRT((27/365))))-'Main Dashboard'!$B$12*SQRT((27/365)))))*'Main Dashboard'!$B$21</f>
        <v/>
      </c>
      <c r="D7" s="30">
        <f>($A7*EXP(-'Main Dashboard'!$B$14*(20/365))*NORMSDIST(((LN($A7/'Main Dashboard'!$B$7)+('Main Dashboard'!$B$13-'Main Dashboard'!$B$14+'Main Dashboard'!$B$12^2/2)*(20/365))/('Main Dashboard'!$B$12*SQRT((20/365)))))-'Main Dashboard'!$B$7*EXP(-'Main Dashboard'!$B$13*(20/365))*NORMSDIST((((LN($A7/'Main Dashboard'!$B$7)+('Main Dashboard'!$B$13-'Main Dashboard'!$B$14+'Main Dashboard'!$B$12^2/2)*(20/365))/('Main Dashboard'!$B$12*SQRT((20/365))))-'Main Dashboard'!$B$12*SQRT((20/365)))))*'Main Dashboard'!$B$21</f>
        <v/>
      </c>
      <c r="E7" s="30">
        <f>($A7*EXP(-'Main Dashboard'!$B$14*(13/365))*NORMSDIST(((LN($A7/'Main Dashboard'!$B$7)+('Main Dashboard'!$B$13-'Main Dashboard'!$B$14+'Main Dashboard'!$B$12^2/2)*(13/365))/('Main Dashboard'!$B$12*SQRT((13/365)))))-'Main Dashboard'!$B$7*EXP(-'Main Dashboard'!$B$13*(13/365))*NORMSDIST((((LN($A7/'Main Dashboard'!$B$7)+('Main Dashboard'!$B$13-'Main Dashboard'!$B$14+'Main Dashboard'!$B$12^2/2)*(13/365))/('Main Dashboard'!$B$12*SQRT((13/365))))-'Main Dashboard'!$B$12*SQRT((13/365)))))*'Main Dashboard'!$B$21</f>
        <v/>
      </c>
      <c r="F7" s="30">
        <f>($A7*EXP(-'Main Dashboard'!$B$14*(6/365))*NORMSDIST(((LN($A7/'Main Dashboard'!$B$7)+('Main Dashboard'!$B$13-'Main Dashboard'!$B$14+'Main Dashboard'!$B$12^2/2)*(6/365))/('Main Dashboard'!$B$12*SQRT((6/365)))))-'Main Dashboard'!$B$7*EXP(-'Main Dashboard'!$B$13*(6/365))*NORMSDIST((((LN($A7/'Main Dashboard'!$B$7)+('Main Dashboard'!$B$13-'Main Dashboard'!$B$14+'Main Dashboard'!$B$12^2/2)*(6/365))/('Main Dashboard'!$B$12*SQRT((6/365))))-'Main Dashboard'!$B$12*SQRT((6/365)))))*'Main Dashboard'!$B$21</f>
        <v/>
      </c>
      <c r="G7" s="30">
        <f>MAX(0,$A7-'Main Dashboard'!$B$7)*'Main Dashboard'!$B$21</f>
        <v/>
      </c>
    </row>
    <row r="8">
      <c r="A8" s="34" t="n">
        <v>305.93</v>
      </c>
      <c r="B8" s="30">
        <f>($A8*EXP(-'Main Dashboard'!$B$14*(34/365))*NORMSDIST(((LN($A8/'Main Dashboard'!$B$7)+('Main Dashboard'!$B$13-'Main Dashboard'!$B$14+'Main Dashboard'!$B$12^2/2)*(34/365))/('Main Dashboard'!$B$12*SQRT((34/365)))))-'Main Dashboard'!$B$7*EXP(-'Main Dashboard'!$B$13*(34/365))*NORMSDIST((((LN($A8/'Main Dashboard'!$B$7)+('Main Dashboard'!$B$13-'Main Dashboard'!$B$14+'Main Dashboard'!$B$12^2/2)*(34/365))/('Main Dashboard'!$B$12*SQRT((34/365))))-'Main Dashboard'!$B$12*SQRT((34/365)))))*'Main Dashboard'!$B$21</f>
        <v/>
      </c>
      <c r="C8" s="30">
        <f>($A8*EXP(-'Main Dashboard'!$B$14*(27/365))*NORMSDIST(((LN($A8/'Main Dashboard'!$B$7)+('Main Dashboard'!$B$13-'Main Dashboard'!$B$14+'Main Dashboard'!$B$12^2/2)*(27/365))/('Main Dashboard'!$B$12*SQRT((27/365)))))-'Main Dashboard'!$B$7*EXP(-'Main Dashboard'!$B$13*(27/365))*NORMSDIST((((LN($A8/'Main Dashboard'!$B$7)+('Main Dashboard'!$B$13-'Main Dashboard'!$B$14+'Main Dashboard'!$B$12^2/2)*(27/365))/('Main Dashboard'!$B$12*SQRT((27/365))))-'Main Dashboard'!$B$12*SQRT((27/365)))))*'Main Dashboard'!$B$21</f>
        <v/>
      </c>
      <c r="D8" s="30">
        <f>($A8*EXP(-'Main Dashboard'!$B$14*(20/365))*NORMSDIST(((LN($A8/'Main Dashboard'!$B$7)+('Main Dashboard'!$B$13-'Main Dashboard'!$B$14+'Main Dashboard'!$B$12^2/2)*(20/365))/('Main Dashboard'!$B$12*SQRT((20/365)))))-'Main Dashboard'!$B$7*EXP(-'Main Dashboard'!$B$13*(20/365))*NORMSDIST((((LN($A8/'Main Dashboard'!$B$7)+('Main Dashboard'!$B$13-'Main Dashboard'!$B$14+'Main Dashboard'!$B$12^2/2)*(20/365))/('Main Dashboard'!$B$12*SQRT((20/365))))-'Main Dashboard'!$B$12*SQRT((20/365)))))*'Main Dashboard'!$B$21</f>
        <v/>
      </c>
      <c r="E8" s="30">
        <f>($A8*EXP(-'Main Dashboard'!$B$14*(13/365))*NORMSDIST(((LN($A8/'Main Dashboard'!$B$7)+('Main Dashboard'!$B$13-'Main Dashboard'!$B$14+'Main Dashboard'!$B$12^2/2)*(13/365))/('Main Dashboard'!$B$12*SQRT((13/365)))))-'Main Dashboard'!$B$7*EXP(-'Main Dashboard'!$B$13*(13/365))*NORMSDIST((((LN($A8/'Main Dashboard'!$B$7)+('Main Dashboard'!$B$13-'Main Dashboard'!$B$14+'Main Dashboard'!$B$12^2/2)*(13/365))/('Main Dashboard'!$B$12*SQRT((13/365))))-'Main Dashboard'!$B$12*SQRT((13/365)))))*'Main Dashboard'!$B$21</f>
        <v/>
      </c>
      <c r="F8" s="30">
        <f>($A8*EXP(-'Main Dashboard'!$B$14*(6/365))*NORMSDIST(((LN($A8/'Main Dashboard'!$B$7)+('Main Dashboard'!$B$13-'Main Dashboard'!$B$14+'Main Dashboard'!$B$12^2/2)*(6/365))/('Main Dashboard'!$B$12*SQRT((6/365)))))-'Main Dashboard'!$B$7*EXP(-'Main Dashboard'!$B$13*(6/365))*NORMSDIST((((LN($A8/'Main Dashboard'!$B$7)+('Main Dashboard'!$B$13-'Main Dashboard'!$B$14+'Main Dashboard'!$B$12^2/2)*(6/365))/('Main Dashboard'!$B$12*SQRT((6/365))))-'Main Dashboard'!$B$12*SQRT((6/365)))))*'Main Dashboard'!$B$21</f>
        <v/>
      </c>
      <c r="G8" s="30">
        <f>MAX(0,$A8-'Main Dashboard'!$B$7)*'Main Dashboard'!$B$21</f>
        <v/>
      </c>
    </row>
    <row r="9">
      <c r="A9" s="34" t="n">
        <v>321.23</v>
      </c>
      <c r="B9" s="30">
        <f>($A9*EXP(-'Main Dashboard'!$B$14*(34/365))*NORMSDIST(((LN($A9/'Main Dashboard'!$B$7)+('Main Dashboard'!$B$13-'Main Dashboard'!$B$14+'Main Dashboard'!$B$12^2/2)*(34/365))/('Main Dashboard'!$B$12*SQRT((34/365)))))-'Main Dashboard'!$B$7*EXP(-'Main Dashboard'!$B$13*(34/365))*NORMSDIST((((LN($A9/'Main Dashboard'!$B$7)+('Main Dashboard'!$B$13-'Main Dashboard'!$B$14+'Main Dashboard'!$B$12^2/2)*(34/365))/('Main Dashboard'!$B$12*SQRT((34/365))))-'Main Dashboard'!$B$12*SQRT((34/365)))))*'Main Dashboard'!$B$21</f>
        <v/>
      </c>
      <c r="C9" s="30">
        <f>($A9*EXP(-'Main Dashboard'!$B$14*(27/365))*NORMSDIST(((LN($A9/'Main Dashboard'!$B$7)+('Main Dashboard'!$B$13-'Main Dashboard'!$B$14+'Main Dashboard'!$B$12^2/2)*(27/365))/('Main Dashboard'!$B$12*SQRT((27/365)))))-'Main Dashboard'!$B$7*EXP(-'Main Dashboard'!$B$13*(27/365))*NORMSDIST((((LN($A9/'Main Dashboard'!$B$7)+('Main Dashboard'!$B$13-'Main Dashboard'!$B$14+'Main Dashboard'!$B$12^2/2)*(27/365))/('Main Dashboard'!$B$12*SQRT((27/365))))-'Main Dashboard'!$B$12*SQRT((27/365)))))*'Main Dashboard'!$B$21</f>
        <v/>
      </c>
      <c r="D9" s="30">
        <f>($A9*EXP(-'Main Dashboard'!$B$14*(20/365))*NORMSDIST(((LN($A9/'Main Dashboard'!$B$7)+('Main Dashboard'!$B$13-'Main Dashboard'!$B$14+'Main Dashboard'!$B$12^2/2)*(20/365))/('Main Dashboard'!$B$12*SQRT((20/365)))))-'Main Dashboard'!$B$7*EXP(-'Main Dashboard'!$B$13*(20/365))*NORMSDIST((((LN($A9/'Main Dashboard'!$B$7)+('Main Dashboard'!$B$13-'Main Dashboard'!$B$14+'Main Dashboard'!$B$12^2/2)*(20/365))/('Main Dashboard'!$B$12*SQRT((20/365))))-'Main Dashboard'!$B$12*SQRT((20/365)))))*'Main Dashboard'!$B$21</f>
        <v/>
      </c>
      <c r="E9" s="30">
        <f>($A9*EXP(-'Main Dashboard'!$B$14*(13/365))*NORMSDIST(((LN($A9/'Main Dashboard'!$B$7)+('Main Dashboard'!$B$13-'Main Dashboard'!$B$14+'Main Dashboard'!$B$12^2/2)*(13/365))/('Main Dashboard'!$B$12*SQRT((13/365)))))-'Main Dashboard'!$B$7*EXP(-'Main Dashboard'!$B$13*(13/365))*NORMSDIST((((LN($A9/'Main Dashboard'!$B$7)+('Main Dashboard'!$B$13-'Main Dashboard'!$B$14+'Main Dashboard'!$B$12^2/2)*(13/365))/('Main Dashboard'!$B$12*SQRT((13/365))))-'Main Dashboard'!$B$12*SQRT((13/365)))))*'Main Dashboard'!$B$21</f>
        <v/>
      </c>
      <c r="F9" s="30">
        <f>($A9*EXP(-'Main Dashboard'!$B$14*(6/365))*NORMSDIST(((LN($A9/'Main Dashboard'!$B$7)+('Main Dashboard'!$B$13-'Main Dashboard'!$B$14+'Main Dashboard'!$B$12^2/2)*(6/365))/('Main Dashboard'!$B$12*SQRT((6/365)))))-'Main Dashboard'!$B$7*EXP(-'Main Dashboard'!$B$13*(6/365))*NORMSDIST((((LN($A9/'Main Dashboard'!$B$7)+('Main Dashboard'!$B$13-'Main Dashboard'!$B$14+'Main Dashboard'!$B$12^2/2)*(6/365))/('Main Dashboard'!$B$12*SQRT((6/365))))-'Main Dashboard'!$B$12*SQRT((6/365)))))*'Main Dashboard'!$B$21</f>
        <v/>
      </c>
      <c r="G9" s="30">
        <f>MAX(0,$A9-'Main Dashboard'!$B$7)*'Main Dashboard'!$B$21</f>
        <v/>
      </c>
    </row>
    <row r="10">
      <c r="A10" s="34" t="n">
        <v>336.52</v>
      </c>
      <c r="B10" s="30">
        <f>($A10*EXP(-'Main Dashboard'!$B$14*(34/365))*NORMSDIST(((LN($A10/'Main Dashboard'!$B$7)+('Main Dashboard'!$B$13-'Main Dashboard'!$B$14+'Main Dashboard'!$B$12^2/2)*(34/365))/('Main Dashboard'!$B$12*SQRT((34/365)))))-'Main Dashboard'!$B$7*EXP(-'Main Dashboard'!$B$13*(34/365))*NORMSDIST((((LN($A10/'Main Dashboard'!$B$7)+('Main Dashboard'!$B$13-'Main Dashboard'!$B$14+'Main Dashboard'!$B$12^2/2)*(34/365))/('Main Dashboard'!$B$12*SQRT((34/365))))-'Main Dashboard'!$B$12*SQRT((34/365)))))*'Main Dashboard'!$B$21</f>
        <v/>
      </c>
      <c r="C10" s="30">
        <f>($A10*EXP(-'Main Dashboard'!$B$14*(27/365))*NORMSDIST(((LN($A10/'Main Dashboard'!$B$7)+('Main Dashboard'!$B$13-'Main Dashboard'!$B$14+'Main Dashboard'!$B$12^2/2)*(27/365))/('Main Dashboard'!$B$12*SQRT((27/365)))))-'Main Dashboard'!$B$7*EXP(-'Main Dashboard'!$B$13*(27/365))*NORMSDIST((((LN($A10/'Main Dashboard'!$B$7)+('Main Dashboard'!$B$13-'Main Dashboard'!$B$14+'Main Dashboard'!$B$12^2/2)*(27/365))/('Main Dashboard'!$B$12*SQRT((27/365))))-'Main Dashboard'!$B$12*SQRT((27/365)))))*'Main Dashboard'!$B$21</f>
        <v/>
      </c>
      <c r="D10" s="30">
        <f>($A10*EXP(-'Main Dashboard'!$B$14*(20/365))*NORMSDIST(((LN($A10/'Main Dashboard'!$B$7)+('Main Dashboard'!$B$13-'Main Dashboard'!$B$14+'Main Dashboard'!$B$12^2/2)*(20/365))/('Main Dashboard'!$B$12*SQRT((20/365)))))-'Main Dashboard'!$B$7*EXP(-'Main Dashboard'!$B$13*(20/365))*NORMSDIST((((LN($A10/'Main Dashboard'!$B$7)+('Main Dashboard'!$B$13-'Main Dashboard'!$B$14+'Main Dashboard'!$B$12^2/2)*(20/365))/('Main Dashboard'!$B$12*SQRT((20/365))))-'Main Dashboard'!$B$12*SQRT((20/365)))))*'Main Dashboard'!$B$21</f>
        <v/>
      </c>
      <c r="E10" s="30">
        <f>($A10*EXP(-'Main Dashboard'!$B$14*(13/365))*NORMSDIST(((LN($A10/'Main Dashboard'!$B$7)+('Main Dashboard'!$B$13-'Main Dashboard'!$B$14+'Main Dashboard'!$B$12^2/2)*(13/365))/('Main Dashboard'!$B$12*SQRT((13/365)))))-'Main Dashboard'!$B$7*EXP(-'Main Dashboard'!$B$13*(13/365))*NORMSDIST((((LN($A10/'Main Dashboard'!$B$7)+('Main Dashboard'!$B$13-'Main Dashboard'!$B$14+'Main Dashboard'!$B$12^2/2)*(13/365))/('Main Dashboard'!$B$12*SQRT((13/365))))-'Main Dashboard'!$B$12*SQRT((13/365)))))*'Main Dashboard'!$B$21</f>
        <v/>
      </c>
      <c r="F10" s="30">
        <f>($A10*EXP(-'Main Dashboard'!$B$14*(6/365))*NORMSDIST(((LN($A10/'Main Dashboard'!$B$7)+('Main Dashboard'!$B$13-'Main Dashboard'!$B$14+'Main Dashboard'!$B$12^2/2)*(6/365))/('Main Dashboard'!$B$12*SQRT((6/365)))))-'Main Dashboard'!$B$7*EXP(-'Main Dashboard'!$B$13*(6/365))*NORMSDIST((((LN($A10/'Main Dashboard'!$B$7)+('Main Dashboard'!$B$13-'Main Dashboard'!$B$14+'Main Dashboard'!$B$12^2/2)*(6/365))/('Main Dashboard'!$B$12*SQRT((6/365))))-'Main Dashboard'!$B$12*SQRT((6/365)))))*'Main Dashboard'!$B$21</f>
        <v/>
      </c>
      <c r="G10" s="30">
        <f>MAX(0,$A10-'Main Dashboard'!$B$7)*'Main Dashboard'!$B$21</f>
        <v/>
      </c>
    </row>
    <row r="11">
      <c r="A11" s="34" t="n">
        <v>351.82</v>
      </c>
      <c r="B11" s="30">
        <f>($A11*EXP(-'Main Dashboard'!$B$14*(34/365))*NORMSDIST(((LN($A11/'Main Dashboard'!$B$7)+('Main Dashboard'!$B$13-'Main Dashboard'!$B$14+'Main Dashboard'!$B$12^2/2)*(34/365))/('Main Dashboard'!$B$12*SQRT((34/365)))))-'Main Dashboard'!$B$7*EXP(-'Main Dashboard'!$B$13*(34/365))*NORMSDIST((((LN($A11/'Main Dashboard'!$B$7)+('Main Dashboard'!$B$13-'Main Dashboard'!$B$14+'Main Dashboard'!$B$12^2/2)*(34/365))/('Main Dashboard'!$B$12*SQRT((34/365))))-'Main Dashboard'!$B$12*SQRT((34/365)))))*'Main Dashboard'!$B$21</f>
        <v/>
      </c>
      <c r="C11" s="30">
        <f>($A11*EXP(-'Main Dashboard'!$B$14*(27/365))*NORMSDIST(((LN($A11/'Main Dashboard'!$B$7)+('Main Dashboard'!$B$13-'Main Dashboard'!$B$14+'Main Dashboard'!$B$12^2/2)*(27/365))/('Main Dashboard'!$B$12*SQRT((27/365)))))-'Main Dashboard'!$B$7*EXP(-'Main Dashboard'!$B$13*(27/365))*NORMSDIST((((LN($A11/'Main Dashboard'!$B$7)+('Main Dashboard'!$B$13-'Main Dashboard'!$B$14+'Main Dashboard'!$B$12^2/2)*(27/365))/('Main Dashboard'!$B$12*SQRT((27/365))))-'Main Dashboard'!$B$12*SQRT((27/365)))))*'Main Dashboard'!$B$21</f>
        <v/>
      </c>
      <c r="D11" s="30">
        <f>($A11*EXP(-'Main Dashboard'!$B$14*(20/365))*NORMSDIST(((LN($A11/'Main Dashboard'!$B$7)+('Main Dashboard'!$B$13-'Main Dashboard'!$B$14+'Main Dashboard'!$B$12^2/2)*(20/365))/('Main Dashboard'!$B$12*SQRT((20/365)))))-'Main Dashboard'!$B$7*EXP(-'Main Dashboard'!$B$13*(20/365))*NORMSDIST((((LN($A11/'Main Dashboard'!$B$7)+('Main Dashboard'!$B$13-'Main Dashboard'!$B$14+'Main Dashboard'!$B$12^2/2)*(20/365))/('Main Dashboard'!$B$12*SQRT((20/365))))-'Main Dashboard'!$B$12*SQRT((20/365)))))*'Main Dashboard'!$B$21</f>
        <v/>
      </c>
      <c r="E11" s="30">
        <f>($A11*EXP(-'Main Dashboard'!$B$14*(13/365))*NORMSDIST(((LN($A11/'Main Dashboard'!$B$7)+('Main Dashboard'!$B$13-'Main Dashboard'!$B$14+'Main Dashboard'!$B$12^2/2)*(13/365))/('Main Dashboard'!$B$12*SQRT((13/365)))))-'Main Dashboard'!$B$7*EXP(-'Main Dashboard'!$B$13*(13/365))*NORMSDIST((((LN($A11/'Main Dashboard'!$B$7)+('Main Dashboard'!$B$13-'Main Dashboard'!$B$14+'Main Dashboard'!$B$12^2/2)*(13/365))/('Main Dashboard'!$B$12*SQRT((13/365))))-'Main Dashboard'!$B$12*SQRT((13/365)))))*'Main Dashboard'!$B$21</f>
        <v/>
      </c>
      <c r="F11" s="30">
        <f>($A11*EXP(-'Main Dashboard'!$B$14*(6/365))*NORMSDIST(((LN($A11/'Main Dashboard'!$B$7)+('Main Dashboard'!$B$13-'Main Dashboard'!$B$14+'Main Dashboard'!$B$12^2/2)*(6/365))/('Main Dashboard'!$B$12*SQRT((6/365)))))-'Main Dashboard'!$B$7*EXP(-'Main Dashboard'!$B$13*(6/365))*NORMSDIST((((LN($A11/'Main Dashboard'!$B$7)+('Main Dashboard'!$B$13-'Main Dashboard'!$B$14+'Main Dashboard'!$B$12^2/2)*(6/365))/('Main Dashboard'!$B$12*SQRT((6/365))))-'Main Dashboard'!$B$12*SQRT((6/365)))))*'Main Dashboard'!$B$21</f>
        <v/>
      </c>
      <c r="G11" s="30">
        <f>MAX(0,$A11-'Main Dashboard'!$B$7)*'Main Dashboard'!$B$21</f>
        <v/>
      </c>
    </row>
    <row r="13" ht="22" customHeight="1">
      <c r="A13" s="3" t="inlineStr">
        <is>
          <t>Profit and loss ($) against the total cost</t>
        </is>
      </c>
    </row>
    <row r="14" ht="30" customHeight="1">
      <c r="A14" s="5" t="inlineStr">
        <is>
          <t>Underlying price ($)</t>
        </is>
      </c>
      <c r="B14" s="5" t="inlineStr">
        <is>
          <t>Day 0</t>
        </is>
      </c>
      <c r="C14" s="5" t="inlineStr">
        <is>
          <t>Day 7</t>
        </is>
      </c>
      <c r="D14" s="5" t="inlineStr">
        <is>
          <t>Day 14</t>
        </is>
      </c>
      <c r="E14" s="5" t="inlineStr">
        <is>
          <t>Day 21</t>
        </is>
      </c>
      <c r="F14" s="5" t="inlineStr">
        <is>
          <t>Day 28</t>
        </is>
      </c>
      <c r="G14" s="5" t="inlineStr">
        <is>
          <t>Expiry (day 34)</t>
        </is>
      </c>
    </row>
    <row r="15">
      <c r="A15" s="34" t="n">
        <v>275.34</v>
      </c>
      <c r="B15" s="30">
        <f>B6-'Main Dashboard'!$B$24</f>
        <v/>
      </c>
      <c r="C15" s="30">
        <f>C6-'Main Dashboard'!$B$24</f>
        <v/>
      </c>
      <c r="D15" s="30">
        <f>D6-'Main Dashboard'!$B$24</f>
        <v/>
      </c>
      <c r="E15" s="30">
        <f>E6-'Main Dashboard'!$B$24</f>
        <v/>
      </c>
      <c r="F15" s="30">
        <f>F6-'Main Dashboard'!$B$24</f>
        <v/>
      </c>
      <c r="G15" s="30">
        <f>G6-'Main Dashboard'!$B$24</f>
        <v/>
      </c>
    </row>
    <row r="16">
      <c r="A16" s="34" t="n">
        <v>290.63</v>
      </c>
      <c r="B16" s="30">
        <f>B7-'Main Dashboard'!$B$24</f>
        <v/>
      </c>
      <c r="C16" s="30">
        <f>C7-'Main Dashboard'!$B$24</f>
        <v/>
      </c>
      <c r="D16" s="30">
        <f>D7-'Main Dashboard'!$B$24</f>
        <v/>
      </c>
      <c r="E16" s="30">
        <f>E7-'Main Dashboard'!$B$24</f>
        <v/>
      </c>
      <c r="F16" s="30">
        <f>F7-'Main Dashboard'!$B$24</f>
        <v/>
      </c>
      <c r="G16" s="30">
        <f>G7-'Main Dashboard'!$B$24</f>
        <v/>
      </c>
    </row>
    <row r="17">
      <c r="A17" s="34" t="n">
        <v>305.93</v>
      </c>
      <c r="B17" s="30">
        <f>B8-'Main Dashboard'!$B$24</f>
        <v/>
      </c>
      <c r="C17" s="30">
        <f>C8-'Main Dashboard'!$B$24</f>
        <v/>
      </c>
      <c r="D17" s="30">
        <f>D8-'Main Dashboard'!$B$24</f>
        <v/>
      </c>
      <c r="E17" s="30">
        <f>E8-'Main Dashboard'!$B$24</f>
        <v/>
      </c>
      <c r="F17" s="30">
        <f>F8-'Main Dashboard'!$B$24</f>
        <v/>
      </c>
      <c r="G17" s="30">
        <f>G8-'Main Dashboard'!$B$24</f>
        <v/>
      </c>
    </row>
    <row r="18">
      <c r="A18" s="34" t="n">
        <v>321.23</v>
      </c>
      <c r="B18" s="30">
        <f>B9-'Main Dashboard'!$B$24</f>
        <v/>
      </c>
      <c r="C18" s="30">
        <f>C9-'Main Dashboard'!$B$24</f>
        <v/>
      </c>
      <c r="D18" s="30">
        <f>D9-'Main Dashboard'!$B$24</f>
        <v/>
      </c>
      <c r="E18" s="30">
        <f>E9-'Main Dashboard'!$B$24</f>
        <v/>
      </c>
      <c r="F18" s="30">
        <f>F9-'Main Dashboard'!$B$24</f>
        <v/>
      </c>
      <c r="G18" s="30">
        <f>G9-'Main Dashboard'!$B$24</f>
        <v/>
      </c>
    </row>
    <row r="19">
      <c r="A19" s="34" t="n">
        <v>336.52</v>
      </c>
      <c r="B19" s="30">
        <f>B10-'Main Dashboard'!$B$24</f>
        <v/>
      </c>
      <c r="C19" s="30">
        <f>C10-'Main Dashboard'!$B$24</f>
        <v/>
      </c>
      <c r="D19" s="30">
        <f>D10-'Main Dashboard'!$B$24</f>
        <v/>
      </c>
      <c r="E19" s="30">
        <f>E10-'Main Dashboard'!$B$24</f>
        <v/>
      </c>
      <c r="F19" s="30">
        <f>F10-'Main Dashboard'!$B$24</f>
        <v/>
      </c>
      <c r="G19" s="30">
        <f>G10-'Main Dashboard'!$B$24</f>
        <v/>
      </c>
    </row>
    <row r="20">
      <c r="A20" s="34" t="n">
        <v>351.82</v>
      </c>
      <c r="B20" s="30">
        <f>B11-'Main Dashboard'!$B$24</f>
        <v/>
      </c>
      <c r="C20" s="30">
        <f>C11-'Main Dashboard'!$B$24</f>
        <v/>
      </c>
      <c r="D20" s="30">
        <f>D11-'Main Dashboard'!$B$24</f>
        <v/>
      </c>
      <c r="E20" s="30">
        <f>E11-'Main Dashboard'!$B$24</f>
        <v/>
      </c>
      <c r="F20" s="30">
        <f>F11-'Main Dashboard'!$B$24</f>
        <v/>
      </c>
      <c r="G20" s="30">
        <f>G11-'Main Dashboard'!$B$24</f>
        <v/>
      </c>
    </row>
    <row r="22" ht="22" customHeight="1">
      <c r="A22" s="3" t="inlineStr">
        <is>
          <t>Reading the grid</t>
        </is>
      </c>
    </row>
    <row r="23">
      <c r="A23" s="36" t="inlineStr">
        <is>
          <t>Read down a column to see the effect of price. Read across a row to see the effect of time.</t>
        </is>
      </c>
    </row>
    <row r="24">
      <c r="A24" s="36" t="inlineStr">
        <is>
          <t>At an unchanged underlying price the row falls from left to right. That fall is time decay, and it is the cost of being early.</t>
        </is>
      </c>
    </row>
    <row r="25">
      <c r="A25" s="36" t="inlineStr">
        <is>
          <t>The expiry column is the worst case for time value, because every remaining cent of time value is gone.</t>
        </is>
      </c>
    </row>
    <row r="26">
      <c r="A26" s="36" t="inlineStr">
        <is>
          <t>The grid holds implied volatility constant. A volatility crush after an event lowers every cell to the left of expiry.</t>
        </is>
      </c>
    </row>
    <row r="28" ht="22" customHeight="1">
      <c r="A28" s="3" t="inlineStr">
        <is>
          <t>MarketXLS Functions Used in This Sheet</t>
        </is>
      </c>
    </row>
    <row r="29">
      <c r="A29" s="12">
        <f>opt_ImpliedVolatility(spot,price,expiry,"Call",strike)</f>
        <v/>
      </c>
      <c r="B29" s="13" t="inlineStr">
        <is>
          <t>Implied volatility used to re-price</t>
        </is>
      </c>
    </row>
    <row r="30">
      <c r="A30" s="12">
        <f>QM_Last("AAPL")</f>
        <v/>
      </c>
      <c r="B30" s="13" t="inlineStr">
        <is>
          <t>Underlying price at the centre of the grid</t>
        </is>
      </c>
    </row>
    <row r="31">
      <c r="A31" s="12">
        <f>NORMSDIST(d1)</f>
        <v/>
      </c>
      <c r="B31" s="13" t="inlineStr">
        <is>
          <t>Standard normal term inside Black-Scholes</t>
        </is>
      </c>
    </row>
    <row r="33" ht="20" customHeight="1">
      <c r="A33" s="14" t="inlineStr">
        <is>
          <t>Powered by MarketXLS   |   https://marketxls.com   |   Book a demo: https://marketxls.com/book-demo   |   https://optionxls.com</t>
        </is>
      </c>
    </row>
  </sheetData>
  <mergeCells count="14">
    <mergeCell ref="A4:H4"/>
    <mergeCell ref="A26:H26"/>
    <mergeCell ref="A25:H25"/>
    <mergeCell ref="A24:H24"/>
    <mergeCell ref="A2:H2"/>
    <mergeCell ref="A28:H28"/>
    <mergeCell ref="B31:H31"/>
    <mergeCell ref="B30:H30"/>
    <mergeCell ref="A13:H13"/>
    <mergeCell ref="A33:H33"/>
    <mergeCell ref="B29:H29"/>
    <mergeCell ref="A1:H1"/>
    <mergeCell ref="A23:H23"/>
    <mergeCell ref="A22:H22"/>
  </mergeCells>
  <conditionalFormatting sqref="B6:H11">
    <cfRule type="colorScale" priority="1">
      <colorScale>
        <cfvo type="min"/>
        <cfvo type="percentile" val="50"/>
        <cfvo type="max"/>
        <color rgb="00F8B4B4"/>
        <color rgb="00FFF2CC"/>
        <color rgb="00B7E1CD"/>
      </colorScale>
    </cfRule>
  </conditionalFormatting>
  <conditionalFormatting sqref="B15:H20">
    <cfRule type="colorScale" priority="2">
      <colorScale>
        <cfvo type="min"/>
        <cfvo type="num" val="0"/>
        <cfvo type="max"/>
        <color rgb="00F8B4B4"/>
        <color rgb="00FFFFFF"/>
        <color rgb="00B7E1CD"/>
      </colorScale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0066CC"/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  <col width="16" customWidth="1" min="5" max="5"/>
    <col width="18" customWidth="1" min="6" max="6"/>
    <col width="14" customWidth="1" min="7" max="7"/>
    <col width="16" customWidth="1" min="8" max="8"/>
    <col width="18" customWidth="1" min="9" max="9"/>
  </cols>
  <sheetData>
    <row r="1" ht="30" customHeight="1">
      <c r="A1" s="1" t="inlineStr">
        <is>
          <t>Strike Comparison - Which Call to Buy</t>
        </is>
      </c>
    </row>
    <row r="2" ht="20" customHeight="1">
      <c r="A2" s="2" t="inlineStr">
        <is>
          <t>AAPL calls expiring 2026-09-18, quotes as of 2026-08-15</t>
        </is>
      </c>
    </row>
    <row r="4" ht="30" customHeight="1">
      <c r="A4" s="5" t="inlineStr">
        <is>
          <t>Strike ($)</t>
        </is>
      </c>
      <c r="B4" s="5" t="inlineStr">
        <is>
          <t>Moneyness</t>
        </is>
      </c>
      <c r="C4" s="5" t="inlineStr">
        <is>
          <t>Ask ($)</t>
        </is>
      </c>
      <c r="D4" s="5" t="inlineStr">
        <is>
          <t>Cost, 1 contract ($)</t>
        </is>
      </c>
      <c r="E4" s="5" t="inlineStr">
        <is>
          <t>Breakeven ($)</t>
        </is>
      </c>
      <c r="F4" s="5" t="inlineStr">
        <is>
          <t>Move to breakeven</t>
        </is>
      </c>
      <c r="G4" s="5" t="inlineStr">
        <is>
          <t>Delta</t>
        </is>
      </c>
      <c r="H4" s="5" t="inlineStr">
        <is>
          <t>Open interest</t>
        </is>
      </c>
      <c r="I4" s="5" t="inlineStr">
        <is>
          <t>Cost per delta ($)</t>
        </is>
      </c>
    </row>
    <row r="5">
      <c r="A5" s="34" t="n">
        <v>290</v>
      </c>
      <c r="B5" s="43" t="inlineStr">
        <is>
          <t>In the money</t>
        </is>
      </c>
      <c r="C5" s="30">
        <f>Option_Ask(OptionSymbol('Main Dashboard'!$B$5,'Main Dashboard'!$B$8,"Call",A5))</f>
        <v/>
      </c>
      <c r="D5" s="30">
        <f>C5*100+'Main Dashboard'!$B$15</f>
        <v/>
      </c>
      <c r="E5" s="30">
        <f>A5+C5+'Main Dashboard'!$B$15/100</f>
        <v/>
      </c>
      <c r="F5" s="24">
        <f>(E5-'Main Dashboard'!$B$6)/'Main Dashboard'!$B$6</f>
        <v/>
      </c>
      <c r="G5" s="27">
        <f>opt_Delta('Main Dashboard'!$B$6,C5,'Main Dashboard'!$B$8,"Call",A5)</f>
        <v/>
      </c>
      <c r="H5" s="28">
        <f>Option_Openinterest(OptionSymbol('Main Dashboard'!$B$5,'Main Dashboard'!$B$8,"Call",A5))</f>
        <v/>
      </c>
      <c r="I5" s="30">
        <f>IF(G5&gt;0,D5/(G5*100),"")</f>
        <v/>
      </c>
    </row>
    <row r="6">
      <c r="A6" s="44" t="n">
        <v>295</v>
      </c>
      <c r="B6" s="45" t="inlineStr">
        <is>
          <t>In the money</t>
        </is>
      </c>
      <c r="C6" s="46">
        <f>Option_Ask(OptionSymbol('Main Dashboard'!$B$5,'Main Dashboard'!$B$8,"Call",A6))</f>
        <v/>
      </c>
      <c r="D6" s="46">
        <f>C6*100+'Main Dashboard'!$B$15</f>
        <v/>
      </c>
      <c r="E6" s="46">
        <f>A6+C6+'Main Dashboard'!$B$15/100</f>
        <v/>
      </c>
      <c r="F6" s="47">
        <f>(E6-'Main Dashboard'!$B$6)/'Main Dashboard'!$B$6</f>
        <v/>
      </c>
      <c r="G6" s="48">
        <f>opt_Delta('Main Dashboard'!$B$6,C6,'Main Dashboard'!$B$8,"Call",A6)</f>
        <v/>
      </c>
      <c r="H6" s="49">
        <f>Option_Openinterest(OptionSymbol('Main Dashboard'!$B$5,'Main Dashboard'!$B$8,"Call",A6))</f>
        <v/>
      </c>
      <c r="I6" s="46">
        <f>IF(G6&gt;0,D6/(G6*100),"")</f>
        <v/>
      </c>
    </row>
    <row r="7">
      <c r="A7" s="34" t="n">
        <v>300</v>
      </c>
      <c r="B7" s="43" t="inlineStr">
        <is>
          <t>In the money</t>
        </is>
      </c>
      <c r="C7" s="30">
        <f>Option_Ask(OptionSymbol('Main Dashboard'!$B$5,'Main Dashboard'!$B$8,"Call",A7))</f>
        <v/>
      </c>
      <c r="D7" s="30">
        <f>C7*100+'Main Dashboard'!$B$15</f>
        <v/>
      </c>
      <c r="E7" s="30">
        <f>A7+C7+'Main Dashboard'!$B$15/100</f>
        <v/>
      </c>
      <c r="F7" s="24">
        <f>(E7-'Main Dashboard'!$B$6)/'Main Dashboard'!$B$6</f>
        <v/>
      </c>
      <c r="G7" s="27">
        <f>opt_Delta('Main Dashboard'!$B$6,C7,'Main Dashboard'!$B$8,"Call",A7)</f>
        <v/>
      </c>
      <c r="H7" s="28">
        <f>Option_Openinterest(OptionSymbol('Main Dashboard'!$B$5,'Main Dashboard'!$B$8,"Call",A7))</f>
        <v/>
      </c>
      <c r="I7" s="30">
        <f>IF(G7&gt;0,D7/(G7*100),"")</f>
        <v/>
      </c>
    </row>
    <row r="8">
      <c r="A8" s="44" t="n">
        <v>305</v>
      </c>
      <c r="B8" s="45" t="inlineStr">
        <is>
          <t>At the money</t>
        </is>
      </c>
      <c r="C8" s="46">
        <f>Option_Ask(OptionSymbol('Main Dashboard'!$B$5,'Main Dashboard'!$B$8,"Call",A8))</f>
        <v/>
      </c>
      <c r="D8" s="46">
        <f>C8*100+'Main Dashboard'!$B$15</f>
        <v/>
      </c>
      <c r="E8" s="46">
        <f>A8+C8+'Main Dashboard'!$B$15/100</f>
        <v/>
      </c>
      <c r="F8" s="47">
        <f>(E8-'Main Dashboard'!$B$6)/'Main Dashboard'!$B$6</f>
        <v/>
      </c>
      <c r="G8" s="48">
        <f>opt_Delta('Main Dashboard'!$B$6,C8,'Main Dashboard'!$B$8,"Call",A8)</f>
        <v/>
      </c>
      <c r="H8" s="49">
        <f>Option_Openinterest(OptionSymbol('Main Dashboard'!$B$5,'Main Dashboard'!$B$8,"Call",A8))</f>
        <v/>
      </c>
      <c r="I8" s="46">
        <f>IF(G8&gt;0,D8/(G8*100),"")</f>
        <v/>
      </c>
    </row>
    <row r="9">
      <c r="A9" s="34" t="n">
        <v>310</v>
      </c>
      <c r="B9" s="43" t="inlineStr">
        <is>
          <t>Out of the money</t>
        </is>
      </c>
      <c r="C9" s="30">
        <f>Option_Ask(OptionSymbol('Main Dashboard'!$B$5,'Main Dashboard'!$B$8,"Call",A9))</f>
        <v/>
      </c>
      <c r="D9" s="30">
        <f>C9*100+'Main Dashboard'!$B$15</f>
        <v/>
      </c>
      <c r="E9" s="30">
        <f>A9+C9+'Main Dashboard'!$B$15/100</f>
        <v/>
      </c>
      <c r="F9" s="24">
        <f>(E9-'Main Dashboard'!$B$6)/'Main Dashboard'!$B$6</f>
        <v/>
      </c>
      <c r="G9" s="27">
        <f>opt_Delta('Main Dashboard'!$B$6,C9,'Main Dashboard'!$B$8,"Call",A9)</f>
        <v/>
      </c>
      <c r="H9" s="28">
        <f>Option_Openinterest(OptionSymbol('Main Dashboard'!$B$5,'Main Dashboard'!$B$8,"Call",A9))</f>
        <v/>
      </c>
      <c r="I9" s="30">
        <f>IF(G9&gt;0,D9/(G9*100),"")</f>
        <v/>
      </c>
    </row>
    <row r="10">
      <c r="A10" s="44" t="n">
        <v>315</v>
      </c>
      <c r="B10" s="45" t="inlineStr">
        <is>
          <t>Out of the money</t>
        </is>
      </c>
      <c r="C10" s="46">
        <f>Option_Ask(OptionSymbol('Main Dashboard'!$B$5,'Main Dashboard'!$B$8,"Call",A10))</f>
        <v/>
      </c>
      <c r="D10" s="46">
        <f>C10*100+'Main Dashboard'!$B$15</f>
        <v/>
      </c>
      <c r="E10" s="46">
        <f>A10+C10+'Main Dashboard'!$B$15/100</f>
        <v/>
      </c>
      <c r="F10" s="47">
        <f>(E10-'Main Dashboard'!$B$6)/'Main Dashboard'!$B$6</f>
        <v/>
      </c>
      <c r="G10" s="48">
        <f>opt_Delta('Main Dashboard'!$B$6,C10,'Main Dashboard'!$B$8,"Call",A10)</f>
        <v/>
      </c>
      <c r="H10" s="49">
        <f>Option_Openinterest(OptionSymbol('Main Dashboard'!$B$5,'Main Dashboard'!$B$8,"Call",A10))</f>
        <v/>
      </c>
      <c r="I10" s="46">
        <f>IF(G10&gt;0,D10/(G10*100),"")</f>
        <v/>
      </c>
    </row>
    <row r="11">
      <c r="A11" s="34" t="n">
        <v>320</v>
      </c>
      <c r="B11" s="43" t="inlineStr">
        <is>
          <t>Out of the money</t>
        </is>
      </c>
      <c r="C11" s="30">
        <f>Option_Ask(OptionSymbol('Main Dashboard'!$B$5,'Main Dashboard'!$B$8,"Call",A11))</f>
        <v/>
      </c>
      <c r="D11" s="30">
        <f>C11*100+'Main Dashboard'!$B$15</f>
        <v/>
      </c>
      <c r="E11" s="30">
        <f>A11+C11+'Main Dashboard'!$B$15/100</f>
        <v/>
      </c>
      <c r="F11" s="24">
        <f>(E11-'Main Dashboard'!$B$6)/'Main Dashboard'!$B$6</f>
        <v/>
      </c>
      <c r="G11" s="27">
        <f>opt_Delta('Main Dashboard'!$B$6,C11,'Main Dashboard'!$B$8,"Call",A11)</f>
        <v/>
      </c>
      <c r="H11" s="28">
        <f>Option_Openinterest(OptionSymbol('Main Dashboard'!$B$5,'Main Dashboard'!$B$8,"Call",A11))</f>
        <v/>
      </c>
      <c r="I11" s="30">
        <f>IF(G11&gt;0,D11/(G11*100),"")</f>
        <v/>
      </c>
    </row>
    <row r="12">
      <c r="A12" s="44" t="n">
        <v>325</v>
      </c>
      <c r="B12" s="45" t="inlineStr">
        <is>
          <t>Out of the money</t>
        </is>
      </c>
      <c r="C12" s="46">
        <f>Option_Ask(OptionSymbol('Main Dashboard'!$B$5,'Main Dashboard'!$B$8,"Call",A12))</f>
        <v/>
      </c>
      <c r="D12" s="46">
        <f>C12*100+'Main Dashboard'!$B$15</f>
        <v/>
      </c>
      <c r="E12" s="46">
        <f>A12+C12+'Main Dashboard'!$B$15/100</f>
        <v/>
      </c>
      <c r="F12" s="47">
        <f>(E12-'Main Dashboard'!$B$6)/'Main Dashboard'!$B$6</f>
        <v/>
      </c>
      <c r="G12" s="48">
        <f>opt_Delta('Main Dashboard'!$B$6,C12,'Main Dashboard'!$B$8,"Call",A12)</f>
        <v/>
      </c>
      <c r="H12" s="49">
        <f>Option_Openinterest(OptionSymbol('Main Dashboard'!$B$5,'Main Dashboard'!$B$8,"Call",A12))</f>
        <v/>
      </c>
      <c r="I12" s="46">
        <f>IF(G12&gt;0,D12/(G12*100),"")</f>
        <v/>
      </c>
    </row>
    <row r="13">
      <c r="A13" s="34" t="n">
        <v>330</v>
      </c>
      <c r="B13" s="43" t="inlineStr">
        <is>
          <t>Out of the money</t>
        </is>
      </c>
      <c r="C13" s="30">
        <f>Option_Ask(OptionSymbol('Main Dashboard'!$B$5,'Main Dashboard'!$B$8,"Call",A13))</f>
        <v/>
      </c>
      <c r="D13" s="30">
        <f>C13*100+'Main Dashboard'!$B$15</f>
        <v/>
      </c>
      <c r="E13" s="30">
        <f>A13+C13+'Main Dashboard'!$B$15/100</f>
        <v/>
      </c>
      <c r="F13" s="24">
        <f>(E13-'Main Dashboard'!$B$6)/'Main Dashboard'!$B$6</f>
        <v/>
      </c>
      <c r="G13" s="27">
        <f>opt_Delta('Main Dashboard'!$B$6,C13,'Main Dashboard'!$B$8,"Call",A13)</f>
        <v/>
      </c>
      <c r="H13" s="28">
        <f>Option_Openinterest(OptionSymbol('Main Dashboard'!$B$5,'Main Dashboard'!$B$8,"Call",A13))</f>
        <v/>
      </c>
      <c r="I13" s="30">
        <f>IF(G13&gt;0,D13/(G13*100),"")</f>
        <v/>
      </c>
    </row>
    <row r="14">
      <c r="A14" s="44" t="n">
        <v>340</v>
      </c>
      <c r="B14" s="45" t="inlineStr">
        <is>
          <t>Out of the money</t>
        </is>
      </c>
      <c r="C14" s="46">
        <f>Option_Ask(OptionSymbol('Main Dashboard'!$B$5,'Main Dashboard'!$B$8,"Call",A14))</f>
        <v/>
      </c>
      <c r="D14" s="46">
        <f>C14*100+'Main Dashboard'!$B$15</f>
        <v/>
      </c>
      <c r="E14" s="46">
        <f>A14+C14+'Main Dashboard'!$B$15/100</f>
        <v/>
      </c>
      <c r="F14" s="47">
        <f>(E14-'Main Dashboard'!$B$6)/'Main Dashboard'!$B$6</f>
        <v/>
      </c>
      <c r="G14" s="48">
        <f>opt_Delta('Main Dashboard'!$B$6,C14,'Main Dashboard'!$B$8,"Call",A14)</f>
        <v/>
      </c>
      <c r="H14" s="49">
        <f>Option_Openinterest(OptionSymbol('Main Dashboard'!$B$5,'Main Dashboard'!$B$8,"Call",A14))</f>
        <v/>
      </c>
      <c r="I14" s="46">
        <f>IF(G14&gt;0,D14/(G14*100),"")</f>
        <v/>
      </c>
    </row>
    <row r="16" ht="22" customHeight="1">
      <c r="A16" s="3" t="inlineStr">
        <is>
          <t>What the columns tell you</t>
        </is>
      </c>
    </row>
    <row r="17">
      <c r="A17" s="36" t="inlineStr">
        <is>
          <t>Move to breakeven is the honest cost of a cheap strike. A far out of the money call costs less in dollars and needs a much larger move.</t>
        </is>
      </c>
    </row>
    <row r="18">
      <c r="A18" s="36" t="inlineStr">
        <is>
          <t>Cost per delta divides the premium by the exposure it buys. It compares strikes on the exposure they deliver, not on the sticker price.</t>
        </is>
      </c>
    </row>
    <row r="19">
      <c r="A19" s="36" t="inlineStr">
        <is>
          <t>Open interest is a liquidity check. A thin contract can be expensive to exit even when the model says it is profitable.</t>
        </is>
      </c>
    </row>
    <row r="20">
      <c r="A20" s="36" t="inlineStr">
        <is>
          <t>Deep in the money calls carry the most intrinsic value and the least time value, so they behave more like the stock and less like a lottery ticket.</t>
        </is>
      </c>
    </row>
    <row r="22" ht="22" customHeight="1">
      <c r="A22" s="3" t="inlineStr">
        <is>
          <t>MarketXLS Functions Used in This Sheet</t>
        </is>
      </c>
    </row>
    <row r="23">
      <c r="A23" s="12">
        <f>Strikes("AAPL")</f>
        <v/>
      </c>
      <c r="B23" s="13" t="inlineStr">
        <is>
          <t>Available strike prices for the underlying</t>
        </is>
      </c>
    </row>
    <row r="24">
      <c r="A24" s="12">
        <f>ExpirationNext("AAPL",0)</f>
        <v/>
      </c>
      <c r="B24" s="13" t="inlineStr">
        <is>
          <t>Next expiration date</t>
        </is>
      </c>
    </row>
    <row r="25">
      <c r="A25" s="12">
        <f>OptionSymbol("AAPL",expiry,"Call",strike)</f>
        <v/>
      </c>
      <c r="B25" s="13" t="inlineStr">
        <is>
          <t>Contract symbol for each strike</t>
        </is>
      </c>
    </row>
    <row r="26">
      <c r="A26" s="12">
        <f>Option_Ask(symbol)</f>
        <v/>
      </c>
      <c r="B26" s="13" t="inlineStr">
        <is>
          <t>Ask price of each call</t>
        </is>
      </c>
    </row>
    <row r="27">
      <c r="A27" s="12">
        <f>Option_Openinterest(symbol)</f>
        <v/>
      </c>
      <c r="B27" s="13" t="inlineStr">
        <is>
          <t>Open interest, the liquidity check</t>
        </is>
      </c>
    </row>
    <row r="28">
      <c r="A28" s="12">
        <f>opt_Delta(spot,price,expiry,"Call",strike)</f>
        <v/>
      </c>
      <c r="B28" s="13" t="inlineStr">
        <is>
          <t>Delta of each strike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5">
    <mergeCell ref="A2:I2"/>
    <mergeCell ref="A19:I19"/>
    <mergeCell ref="B25:I25"/>
    <mergeCell ref="B24:I24"/>
    <mergeCell ref="A1:I1"/>
    <mergeCell ref="A17:I17"/>
    <mergeCell ref="A18:I18"/>
    <mergeCell ref="B28:I28"/>
    <mergeCell ref="A22:I22"/>
    <mergeCell ref="B23:I23"/>
    <mergeCell ref="B27:I27"/>
    <mergeCell ref="A20:I20"/>
    <mergeCell ref="A30:I30"/>
    <mergeCell ref="A16:I16"/>
    <mergeCell ref="B26:I26"/>
  </mergeCells>
  <conditionalFormatting sqref="F5:F14">
    <cfRule type="colorScale" priority="1">
      <colorScale>
        <cfvo type="min"/>
        <cfvo type="max"/>
        <color rgb="00B7E1CD"/>
        <color rgb="00F8B4B4"/>
      </colorScale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003366"/>
    <outlinePr summaryBelow="1" summaryRight="1"/>
    <pageSetUpPr/>
  </sheetPr>
  <dimension ref="A1:F30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8" customWidth="1" min="2" max="2"/>
    <col width="4" customWidth="1" min="3" max="3"/>
    <col width="30" customWidth="1" min="4" max="4"/>
    <col width="18" customWidth="1" min="5" max="5"/>
    <col width="40" customWidth="1" min="6" max="6"/>
  </cols>
  <sheetData>
    <row r="1" ht="30" customHeight="1">
      <c r="A1" s="1" t="inlineStr">
        <is>
          <t>Position Sizing - How Many Contracts</t>
        </is>
      </c>
    </row>
    <row r="2" ht="20" customHeight="1">
      <c r="A2" s="2" t="inlineStr">
        <is>
          <t>A long call can go to zero, so size it as a total loss</t>
        </is>
      </c>
    </row>
    <row r="4" ht="22" customHeight="1">
      <c r="A4" s="3" t="inlineStr">
        <is>
          <t>Risk inputs</t>
        </is>
      </c>
      <c r="D4" s="3" t="inlineStr">
        <is>
          <t>Risk ladder</t>
        </is>
      </c>
    </row>
    <row r="5" ht="30" customHeight="1">
      <c r="A5" s="8" t="inlineStr">
        <is>
          <t>Portfolio value ($)</t>
        </is>
      </c>
      <c r="B5" s="50" t="n">
        <v>100000</v>
      </c>
      <c r="D5" s="5" t="inlineStr">
        <is>
          <t>Risk budget</t>
        </is>
      </c>
      <c r="E5" s="5" t="inlineStr">
        <is>
          <t>Contracts</t>
        </is>
      </c>
      <c r="F5" s="5" t="inlineStr">
        <is>
          <t>Capital at risk ($)</t>
        </is>
      </c>
    </row>
    <row r="6">
      <c r="A6" s="8" t="inlineStr">
        <is>
          <t>Risk budget per trade (decimal)</t>
        </is>
      </c>
      <c r="B6" s="51" t="n">
        <v>0.02</v>
      </c>
      <c r="D6" s="52" t="n">
        <v>0.005</v>
      </c>
      <c r="E6" s="28">
        <f>ROUNDDOWN($B$5*D6/$B$10,0)</f>
        <v/>
      </c>
      <c r="F6" s="30">
        <f>E6*$B$10</f>
        <v/>
      </c>
    </row>
    <row r="7">
      <c r="D7" s="52" t="n">
        <v>0.01</v>
      </c>
      <c r="E7" s="28">
        <f>ROUNDDOWN($B$5*D7/$B$10,0)</f>
        <v/>
      </c>
      <c r="F7" s="30">
        <f>E7*$B$10</f>
        <v/>
      </c>
    </row>
    <row r="8" ht="22" customHeight="1">
      <c r="A8" s="3" t="inlineStr">
        <is>
          <t>Sizing output</t>
        </is>
      </c>
      <c r="D8" s="52" t="n">
        <v>0.02</v>
      </c>
      <c r="E8" s="28">
        <f>ROUNDDOWN($B$5*D8/$B$10,0)</f>
        <v/>
      </c>
      <c r="F8" s="30">
        <f>E8*$B$10</f>
        <v/>
      </c>
    </row>
    <row r="9">
      <c r="A9" s="9" t="inlineStr">
        <is>
          <t>Dollar risk budget ($)</t>
        </is>
      </c>
      <c r="B9" s="30">
        <f>B5*B6</f>
        <v/>
      </c>
      <c r="D9" s="52" t="n">
        <v>0.03</v>
      </c>
      <c r="E9" s="28">
        <f>ROUNDDOWN($B$5*D9/$B$10,0)</f>
        <v/>
      </c>
      <c r="F9" s="30">
        <f>E9*$B$10</f>
        <v/>
      </c>
    </row>
    <row r="10">
      <c r="A10" s="9" t="inlineStr">
        <is>
          <t>Cost per contract ($)</t>
        </is>
      </c>
      <c r="B10" s="30">
        <f>'Main Dashboard'!$B$11*100+'Main Dashboard'!$B$15</f>
        <v/>
      </c>
      <c r="D10" s="52" t="n">
        <v>0.05</v>
      </c>
      <c r="E10" s="28">
        <f>ROUNDDOWN($B$5*D10/$B$10,0)</f>
        <v/>
      </c>
      <c r="F10" s="30">
        <f>E10*$B$10</f>
        <v/>
      </c>
    </row>
    <row r="11">
      <c r="A11" s="8" t="inlineStr">
        <is>
          <t>Maximum contracts at budget</t>
        </is>
      </c>
      <c r="B11" s="53">
        <f>ROUNDDOWN(B9/B10,0)</f>
        <v/>
      </c>
    </row>
    <row r="12">
      <c r="A12" s="8" t="inlineStr">
        <is>
          <t>Capital at risk if held to zero ($)</t>
        </is>
      </c>
      <c r="B12" s="31">
        <f>B11*B10</f>
        <v/>
      </c>
    </row>
    <row r="13">
      <c r="A13" s="9" t="inlineStr">
        <is>
          <t>Share of portfolio at risk</t>
        </is>
      </c>
      <c r="B13" s="24">
        <f>B12/B5</f>
        <v/>
      </c>
    </row>
    <row r="14">
      <c r="A14" s="9" t="inlineStr">
        <is>
          <t>Notional controlled ($)</t>
        </is>
      </c>
      <c r="B14" s="35">
        <f>B11*100*'Main Dashboard'!$B$6</f>
        <v/>
      </c>
    </row>
    <row r="15">
      <c r="A15" s="9" t="inlineStr">
        <is>
          <t>Notional as share of portfolio</t>
        </is>
      </c>
      <c r="B15" s="52">
        <f>B14/B5</f>
        <v/>
      </c>
    </row>
    <row r="17" ht="22" customHeight="1">
      <c r="A17" s="3" t="inlineStr">
        <is>
          <t>Sizing rules that apply to bought calls</t>
        </is>
      </c>
    </row>
    <row r="18">
      <c r="A18" s="36" t="inlineStr">
        <is>
          <t>Size a long call on the assumption that it expires worthless. That outcome is common, not rare.</t>
        </is>
      </c>
    </row>
    <row r="19">
      <c r="A19" s="36" t="inlineStr">
        <is>
          <t>The notional row shows the exposure the premium controls. Leverage makes a small premium behave like a large stock position.</t>
        </is>
      </c>
    </row>
    <row r="20">
      <c r="A20" s="36" t="inlineStr">
        <is>
          <t>A risk budget above five percent of the account on one expiring contract concentrates timing risk in a single date.</t>
        </is>
      </c>
    </row>
    <row r="21">
      <c r="A21" s="36" t="inlineStr">
        <is>
          <t>This sheet models risk. It does not recommend a position size for any person.</t>
        </is>
      </c>
    </row>
    <row r="23" ht="22" customHeight="1">
      <c r="A23" s="3" t="inlineStr">
        <is>
          <t>MarketXLS Functions Used in This Sheet</t>
        </is>
      </c>
    </row>
    <row r="24">
      <c r="A24" s="12">
        <f>Option_Ask(symbol)</f>
        <v/>
      </c>
      <c r="B24" s="13" t="inlineStr">
        <is>
          <t>Premium that drives the cost per contract</t>
        </is>
      </c>
    </row>
    <row r="25">
      <c r="A25" s="12">
        <f>QM_Last("AAPL")</f>
        <v/>
      </c>
      <c r="B25" s="13" t="inlineStr">
        <is>
          <t>Underlying price behind the notional calculation</t>
        </is>
      </c>
    </row>
    <row r="26">
      <c r="A26" s="12">
        <f>MarketCapitalization("AAPL")</f>
        <v/>
      </c>
      <c r="B26" s="13" t="inlineStr">
        <is>
          <t>Size of the underlying company</t>
        </is>
      </c>
    </row>
    <row r="27">
      <c r="A27" s="12">
        <f>AverageDailyVolume("AAPL")</f>
        <v/>
      </c>
      <c r="B27" s="13" t="inlineStr">
        <is>
          <t>Liquidity of the underlying</t>
        </is>
      </c>
    </row>
    <row r="28">
      <c r="A28" s="12">
        <f>Beta("AAPL")</f>
        <v/>
      </c>
      <c r="B28" s="13" t="inlineStr">
        <is>
          <t>Sensitivity of the underlying to the market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7">
    <mergeCell ref="A4:B4"/>
    <mergeCell ref="A2:F2"/>
    <mergeCell ref="A30:F30"/>
    <mergeCell ref="B24:F24"/>
    <mergeCell ref="A19:F19"/>
    <mergeCell ref="A1:F1"/>
    <mergeCell ref="D4:F4"/>
    <mergeCell ref="A23:F23"/>
    <mergeCell ref="B25:F25"/>
    <mergeCell ref="B28:F28"/>
    <mergeCell ref="A17:F17"/>
    <mergeCell ref="A18:F18"/>
    <mergeCell ref="A20:F20"/>
    <mergeCell ref="A21:F21"/>
    <mergeCell ref="A8:B8"/>
    <mergeCell ref="B26:F26"/>
    <mergeCell ref="B27:F27"/>
  </mergeCell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C0392B"/>
    <outlinePr summaryBelow="1" summaryRight="1"/>
    <pageSetUpPr/>
  </sheetPr>
  <dimension ref="A1:G38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16" customWidth="1" min="3" max="3"/>
    <col width="16" customWidth="1" min="4" max="4"/>
    <col width="16" customWidth="1" min="5" max="5"/>
    <col width="16" customWidth="1" min="6" max="6"/>
    <col width="20" customWidth="1" min="7" max="7"/>
  </cols>
  <sheetData>
    <row r="1" ht="30" customHeight="1">
      <c r="A1" s="1" t="inlineStr">
        <is>
          <t>Greeks &amp; Time Decay</t>
        </is>
      </c>
    </row>
    <row r="2" ht="20" customHeight="1">
      <c r="A2" s="2" t="inlineStr">
        <is>
          <t>How the position changes as expiry approaches, underlying held constant</t>
        </is>
      </c>
    </row>
    <row r="4" ht="30" customHeight="1">
      <c r="A4" s="5" t="inlineStr">
        <is>
          <t>Days remaining</t>
        </is>
      </c>
      <c r="B4" s="5" t="inlineStr">
        <is>
          <t>Call value ($)</t>
        </is>
      </c>
      <c r="C4" s="5" t="inlineStr">
        <is>
          <t>Delta</t>
        </is>
      </c>
      <c r="D4" s="5" t="inlineStr">
        <is>
          <t>Gamma</t>
        </is>
      </c>
      <c r="E4" s="5" t="inlineStr">
        <is>
          <t>Theta ($/day)</t>
        </is>
      </c>
      <c r="F4" s="5" t="inlineStr">
        <is>
          <t>Vega</t>
        </is>
      </c>
      <c r="G4" s="5" t="inlineStr">
        <is>
          <t>Position value ($)</t>
        </is>
      </c>
    </row>
    <row r="5">
      <c r="A5" s="54" t="n">
        <v>34</v>
      </c>
      <c r="B5" s="30">
        <f>'Main Dashboard'!$B$6*EXP(-'Main Dashboard'!$B$14*($A5/365))*NORMSDIST(((LN('Main Dashboard'!$B$6/'Main Dashboard'!$B$7)+('Main Dashboard'!$B$13-'Main Dashboard'!$B$14+'Main Dashboard'!$B$12^2/2)*($A5/365))/('Main Dashboard'!$B$12*SQRT(($A5/365)))))-'Main Dashboard'!$B$7*EXP(-'Main Dashboard'!$B$13*($A5/365))*NORMSDIST((((LN('Main Dashboard'!$B$6/'Main Dashboard'!$B$7)+('Main Dashboard'!$B$13-'Main Dashboard'!$B$14+'Main Dashboard'!$B$12^2/2)*($A5/365))/('Main Dashboard'!$B$12*SQRT(($A5/365))))-'Main Dashboard'!$B$12*SQRT(($A5/365))))</f>
        <v/>
      </c>
      <c r="C5" s="27">
        <f>EXP(-'Main Dashboard'!$B$14*($A5/365))*NORMSDIST(((LN('Main Dashboard'!$B$6/'Main Dashboard'!$B$7)+('Main Dashboard'!$B$13-'Main Dashboard'!$B$14+'Main Dashboard'!$B$12^2/2)*($A5/365))/('Main Dashboard'!$B$12*SQRT(($A5/365)))))</f>
        <v/>
      </c>
      <c r="D5" s="27">
        <f>'Main Dashboard'!$E$6</f>
        <v/>
      </c>
      <c r="E5" s="27">
        <f>'Main Dashboard'!$E$7</f>
        <v/>
      </c>
      <c r="F5" s="27">
        <f>'Main Dashboard'!$E$8</f>
        <v/>
      </c>
      <c r="G5" s="34">
        <f>B5*'Main Dashboard'!$B$21</f>
        <v/>
      </c>
    </row>
    <row r="6">
      <c r="A6" s="54" t="n">
        <v>30</v>
      </c>
      <c r="B6" s="30">
        <f>'Main Dashboard'!$B$6*EXP(-'Main Dashboard'!$B$14*($A6/365))*NORMSDIST(((LN('Main Dashboard'!$B$6/'Main Dashboard'!$B$7)+('Main Dashboard'!$B$13-'Main Dashboard'!$B$14+'Main Dashboard'!$B$12^2/2)*($A6/365))/('Main Dashboard'!$B$12*SQRT(($A6/365)))))-'Main Dashboard'!$B$7*EXP(-'Main Dashboard'!$B$13*($A6/365))*NORMSDIST((((LN('Main Dashboard'!$B$6/'Main Dashboard'!$B$7)+('Main Dashboard'!$B$13-'Main Dashboard'!$B$14+'Main Dashboard'!$B$12^2/2)*($A6/365))/('Main Dashboard'!$B$12*SQRT(($A6/365))))-'Main Dashboard'!$B$12*SQRT(($A6/365))))</f>
        <v/>
      </c>
      <c r="C6" s="27">
        <f>EXP(-'Main Dashboard'!$B$14*($A6/365))*NORMSDIST(((LN('Main Dashboard'!$B$6/'Main Dashboard'!$B$7)+('Main Dashboard'!$B$13-'Main Dashboard'!$B$14+'Main Dashboard'!$B$12^2/2)*($A6/365))/('Main Dashboard'!$B$12*SQRT(($A6/365)))))</f>
        <v/>
      </c>
      <c r="D6" s="27">
        <f>'Main Dashboard'!$E$6</f>
        <v/>
      </c>
      <c r="E6" s="27">
        <f>'Main Dashboard'!$E$7</f>
        <v/>
      </c>
      <c r="F6" s="27">
        <f>'Main Dashboard'!$E$8</f>
        <v/>
      </c>
      <c r="G6" s="34">
        <f>B6*'Main Dashboard'!$B$21</f>
        <v/>
      </c>
    </row>
    <row r="7">
      <c r="A7" s="54" t="n">
        <v>25</v>
      </c>
      <c r="B7" s="30">
        <f>'Main Dashboard'!$B$6*EXP(-'Main Dashboard'!$B$14*($A7/365))*NORMSDIST(((LN('Main Dashboard'!$B$6/'Main Dashboard'!$B$7)+('Main Dashboard'!$B$13-'Main Dashboard'!$B$14+'Main Dashboard'!$B$12^2/2)*($A7/365))/('Main Dashboard'!$B$12*SQRT(($A7/365)))))-'Main Dashboard'!$B$7*EXP(-'Main Dashboard'!$B$13*($A7/365))*NORMSDIST((((LN('Main Dashboard'!$B$6/'Main Dashboard'!$B$7)+('Main Dashboard'!$B$13-'Main Dashboard'!$B$14+'Main Dashboard'!$B$12^2/2)*($A7/365))/('Main Dashboard'!$B$12*SQRT(($A7/365))))-'Main Dashboard'!$B$12*SQRT(($A7/365))))</f>
        <v/>
      </c>
      <c r="C7" s="27">
        <f>EXP(-'Main Dashboard'!$B$14*($A7/365))*NORMSDIST(((LN('Main Dashboard'!$B$6/'Main Dashboard'!$B$7)+('Main Dashboard'!$B$13-'Main Dashboard'!$B$14+'Main Dashboard'!$B$12^2/2)*($A7/365))/('Main Dashboard'!$B$12*SQRT(($A7/365)))))</f>
        <v/>
      </c>
      <c r="D7" s="27">
        <f>'Main Dashboard'!$E$6</f>
        <v/>
      </c>
      <c r="E7" s="27">
        <f>'Main Dashboard'!$E$7</f>
        <v/>
      </c>
      <c r="F7" s="27">
        <f>'Main Dashboard'!$E$8</f>
        <v/>
      </c>
      <c r="G7" s="34">
        <f>B7*'Main Dashboard'!$B$21</f>
        <v/>
      </c>
    </row>
    <row r="8">
      <c r="A8" s="54" t="n">
        <v>20</v>
      </c>
      <c r="B8" s="30">
        <f>'Main Dashboard'!$B$6*EXP(-'Main Dashboard'!$B$14*($A8/365))*NORMSDIST(((LN('Main Dashboard'!$B$6/'Main Dashboard'!$B$7)+('Main Dashboard'!$B$13-'Main Dashboard'!$B$14+'Main Dashboard'!$B$12^2/2)*($A8/365))/('Main Dashboard'!$B$12*SQRT(($A8/365)))))-'Main Dashboard'!$B$7*EXP(-'Main Dashboard'!$B$13*($A8/365))*NORMSDIST((((LN('Main Dashboard'!$B$6/'Main Dashboard'!$B$7)+('Main Dashboard'!$B$13-'Main Dashboard'!$B$14+'Main Dashboard'!$B$12^2/2)*($A8/365))/('Main Dashboard'!$B$12*SQRT(($A8/365))))-'Main Dashboard'!$B$12*SQRT(($A8/365))))</f>
        <v/>
      </c>
      <c r="C8" s="27">
        <f>EXP(-'Main Dashboard'!$B$14*($A8/365))*NORMSDIST(((LN('Main Dashboard'!$B$6/'Main Dashboard'!$B$7)+('Main Dashboard'!$B$13-'Main Dashboard'!$B$14+'Main Dashboard'!$B$12^2/2)*($A8/365))/('Main Dashboard'!$B$12*SQRT(($A8/365)))))</f>
        <v/>
      </c>
      <c r="D8" s="27">
        <f>'Main Dashboard'!$E$6</f>
        <v/>
      </c>
      <c r="E8" s="27">
        <f>'Main Dashboard'!$E$7</f>
        <v/>
      </c>
      <c r="F8" s="27">
        <f>'Main Dashboard'!$E$8</f>
        <v/>
      </c>
      <c r="G8" s="34">
        <f>B8*'Main Dashboard'!$B$21</f>
        <v/>
      </c>
    </row>
    <row r="9">
      <c r="A9" s="54" t="n">
        <v>15</v>
      </c>
      <c r="B9" s="30">
        <f>'Main Dashboard'!$B$6*EXP(-'Main Dashboard'!$B$14*($A9/365))*NORMSDIST(((LN('Main Dashboard'!$B$6/'Main Dashboard'!$B$7)+('Main Dashboard'!$B$13-'Main Dashboard'!$B$14+'Main Dashboard'!$B$12^2/2)*($A9/365))/('Main Dashboard'!$B$12*SQRT(($A9/365)))))-'Main Dashboard'!$B$7*EXP(-'Main Dashboard'!$B$13*($A9/365))*NORMSDIST((((LN('Main Dashboard'!$B$6/'Main Dashboard'!$B$7)+('Main Dashboard'!$B$13-'Main Dashboard'!$B$14+'Main Dashboard'!$B$12^2/2)*($A9/365))/('Main Dashboard'!$B$12*SQRT(($A9/365))))-'Main Dashboard'!$B$12*SQRT(($A9/365))))</f>
        <v/>
      </c>
      <c r="C9" s="27">
        <f>EXP(-'Main Dashboard'!$B$14*($A9/365))*NORMSDIST(((LN('Main Dashboard'!$B$6/'Main Dashboard'!$B$7)+('Main Dashboard'!$B$13-'Main Dashboard'!$B$14+'Main Dashboard'!$B$12^2/2)*($A9/365))/('Main Dashboard'!$B$12*SQRT(($A9/365)))))</f>
        <v/>
      </c>
      <c r="D9" s="27">
        <f>'Main Dashboard'!$E$6</f>
        <v/>
      </c>
      <c r="E9" s="27">
        <f>'Main Dashboard'!$E$7</f>
        <v/>
      </c>
      <c r="F9" s="27">
        <f>'Main Dashboard'!$E$8</f>
        <v/>
      </c>
      <c r="G9" s="34">
        <f>B9*'Main Dashboard'!$B$21</f>
        <v/>
      </c>
    </row>
    <row r="10">
      <c r="A10" s="54" t="n">
        <v>10</v>
      </c>
      <c r="B10" s="30">
        <f>'Main Dashboard'!$B$6*EXP(-'Main Dashboard'!$B$14*($A10/365))*NORMSDIST(((LN('Main Dashboard'!$B$6/'Main Dashboard'!$B$7)+('Main Dashboard'!$B$13-'Main Dashboard'!$B$14+'Main Dashboard'!$B$12^2/2)*($A10/365))/('Main Dashboard'!$B$12*SQRT(($A10/365)))))-'Main Dashboard'!$B$7*EXP(-'Main Dashboard'!$B$13*($A10/365))*NORMSDIST((((LN('Main Dashboard'!$B$6/'Main Dashboard'!$B$7)+('Main Dashboard'!$B$13-'Main Dashboard'!$B$14+'Main Dashboard'!$B$12^2/2)*($A10/365))/('Main Dashboard'!$B$12*SQRT(($A10/365))))-'Main Dashboard'!$B$12*SQRT(($A10/365))))</f>
        <v/>
      </c>
      <c r="C10" s="27">
        <f>EXP(-'Main Dashboard'!$B$14*($A10/365))*NORMSDIST(((LN('Main Dashboard'!$B$6/'Main Dashboard'!$B$7)+('Main Dashboard'!$B$13-'Main Dashboard'!$B$14+'Main Dashboard'!$B$12^2/2)*($A10/365))/('Main Dashboard'!$B$12*SQRT(($A10/365)))))</f>
        <v/>
      </c>
      <c r="D10" s="27">
        <f>'Main Dashboard'!$E$6</f>
        <v/>
      </c>
      <c r="E10" s="27">
        <f>'Main Dashboard'!$E$7</f>
        <v/>
      </c>
      <c r="F10" s="27">
        <f>'Main Dashboard'!$E$8</f>
        <v/>
      </c>
      <c r="G10" s="34">
        <f>B10*'Main Dashboard'!$B$21</f>
        <v/>
      </c>
    </row>
    <row r="11">
      <c r="A11" s="54" t="n">
        <v>7</v>
      </c>
      <c r="B11" s="30">
        <f>'Main Dashboard'!$B$6*EXP(-'Main Dashboard'!$B$14*($A11/365))*NORMSDIST(((LN('Main Dashboard'!$B$6/'Main Dashboard'!$B$7)+('Main Dashboard'!$B$13-'Main Dashboard'!$B$14+'Main Dashboard'!$B$12^2/2)*($A11/365))/('Main Dashboard'!$B$12*SQRT(($A11/365)))))-'Main Dashboard'!$B$7*EXP(-'Main Dashboard'!$B$13*($A11/365))*NORMSDIST((((LN('Main Dashboard'!$B$6/'Main Dashboard'!$B$7)+('Main Dashboard'!$B$13-'Main Dashboard'!$B$14+'Main Dashboard'!$B$12^2/2)*($A11/365))/('Main Dashboard'!$B$12*SQRT(($A11/365))))-'Main Dashboard'!$B$12*SQRT(($A11/365))))</f>
        <v/>
      </c>
      <c r="C11" s="27">
        <f>EXP(-'Main Dashboard'!$B$14*($A11/365))*NORMSDIST(((LN('Main Dashboard'!$B$6/'Main Dashboard'!$B$7)+('Main Dashboard'!$B$13-'Main Dashboard'!$B$14+'Main Dashboard'!$B$12^2/2)*($A11/365))/('Main Dashboard'!$B$12*SQRT(($A11/365)))))</f>
        <v/>
      </c>
      <c r="D11" s="27">
        <f>'Main Dashboard'!$E$6</f>
        <v/>
      </c>
      <c r="E11" s="27">
        <f>'Main Dashboard'!$E$7</f>
        <v/>
      </c>
      <c r="F11" s="27">
        <f>'Main Dashboard'!$E$8</f>
        <v/>
      </c>
      <c r="G11" s="34">
        <f>B11*'Main Dashboard'!$B$21</f>
        <v/>
      </c>
    </row>
    <row r="12">
      <c r="A12" s="54" t="n">
        <v>5</v>
      </c>
      <c r="B12" s="30">
        <f>'Main Dashboard'!$B$6*EXP(-'Main Dashboard'!$B$14*($A12/365))*NORMSDIST(((LN('Main Dashboard'!$B$6/'Main Dashboard'!$B$7)+('Main Dashboard'!$B$13-'Main Dashboard'!$B$14+'Main Dashboard'!$B$12^2/2)*($A12/365))/('Main Dashboard'!$B$12*SQRT(($A12/365)))))-'Main Dashboard'!$B$7*EXP(-'Main Dashboard'!$B$13*($A12/365))*NORMSDIST((((LN('Main Dashboard'!$B$6/'Main Dashboard'!$B$7)+('Main Dashboard'!$B$13-'Main Dashboard'!$B$14+'Main Dashboard'!$B$12^2/2)*($A12/365))/('Main Dashboard'!$B$12*SQRT(($A12/365))))-'Main Dashboard'!$B$12*SQRT(($A12/365))))</f>
        <v/>
      </c>
      <c r="C12" s="27">
        <f>EXP(-'Main Dashboard'!$B$14*($A12/365))*NORMSDIST(((LN('Main Dashboard'!$B$6/'Main Dashboard'!$B$7)+('Main Dashboard'!$B$13-'Main Dashboard'!$B$14+'Main Dashboard'!$B$12^2/2)*($A12/365))/('Main Dashboard'!$B$12*SQRT(($A12/365)))))</f>
        <v/>
      </c>
      <c r="D12" s="27">
        <f>'Main Dashboard'!$E$6</f>
        <v/>
      </c>
      <c r="E12" s="27">
        <f>'Main Dashboard'!$E$7</f>
        <v/>
      </c>
      <c r="F12" s="27">
        <f>'Main Dashboard'!$E$8</f>
        <v/>
      </c>
      <c r="G12" s="34">
        <f>B12*'Main Dashboard'!$B$21</f>
        <v/>
      </c>
    </row>
    <row r="13">
      <c r="A13" s="54" t="n">
        <v>3</v>
      </c>
      <c r="B13" s="30">
        <f>'Main Dashboard'!$B$6*EXP(-'Main Dashboard'!$B$14*($A13/365))*NORMSDIST(((LN('Main Dashboard'!$B$6/'Main Dashboard'!$B$7)+('Main Dashboard'!$B$13-'Main Dashboard'!$B$14+'Main Dashboard'!$B$12^2/2)*($A13/365))/('Main Dashboard'!$B$12*SQRT(($A13/365)))))-'Main Dashboard'!$B$7*EXP(-'Main Dashboard'!$B$13*($A13/365))*NORMSDIST((((LN('Main Dashboard'!$B$6/'Main Dashboard'!$B$7)+('Main Dashboard'!$B$13-'Main Dashboard'!$B$14+'Main Dashboard'!$B$12^2/2)*($A13/365))/('Main Dashboard'!$B$12*SQRT(($A13/365))))-'Main Dashboard'!$B$12*SQRT(($A13/365))))</f>
        <v/>
      </c>
      <c r="C13" s="27">
        <f>EXP(-'Main Dashboard'!$B$14*($A13/365))*NORMSDIST(((LN('Main Dashboard'!$B$6/'Main Dashboard'!$B$7)+('Main Dashboard'!$B$13-'Main Dashboard'!$B$14+'Main Dashboard'!$B$12^2/2)*($A13/365))/('Main Dashboard'!$B$12*SQRT(($A13/365)))))</f>
        <v/>
      </c>
      <c r="D13" s="27">
        <f>'Main Dashboard'!$E$6</f>
        <v/>
      </c>
      <c r="E13" s="27">
        <f>'Main Dashboard'!$E$7</f>
        <v/>
      </c>
      <c r="F13" s="27">
        <f>'Main Dashboard'!$E$8</f>
        <v/>
      </c>
      <c r="G13" s="34">
        <f>B13*'Main Dashboard'!$B$21</f>
        <v/>
      </c>
    </row>
    <row r="14">
      <c r="A14" s="54" t="n">
        <v>1</v>
      </c>
      <c r="B14" s="30">
        <f>'Main Dashboard'!$B$6*EXP(-'Main Dashboard'!$B$14*($A14/365))*NORMSDIST(((LN('Main Dashboard'!$B$6/'Main Dashboard'!$B$7)+('Main Dashboard'!$B$13-'Main Dashboard'!$B$14+'Main Dashboard'!$B$12^2/2)*($A14/365))/('Main Dashboard'!$B$12*SQRT(($A14/365)))))-'Main Dashboard'!$B$7*EXP(-'Main Dashboard'!$B$13*($A14/365))*NORMSDIST((((LN('Main Dashboard'!$B$6/'Main Dashboard'!$B$7)+('Main Dashboard'!$B$13-'Main Dashboard'!$B$14+'Main Dashboard'!$B$12^2/2)*($A14/365))/('Main Dashboard'!$B$12*SQRT(($A14/365))))-'Main Dashboard'!$B$12*SQRT(($A14/365))))</f>
        <v/>
      </c>
      <c r="C14" s="27">
        <f>EXP(-'Main Dashboard'!$B$14*($A14/365))*NORMSDIST(((LN('Main Dashboard'!$B$6/'Main Dashboard'!$B$7)+('Main Dashboard'!$B$13-'Main Dashboard'!$B$14+'Main Dashboard'!$B$12^2/2)*($A14/365))/('Main Dashboard'!$B$12*SQRT(($A14/365)))))</f>
        <v/>
      </c>
      <c r="D14" s="27">
        <f>'Main Dashboard'!$E$6</f>
        <v/>
      </c>
      <c r="E14" s="27">
        <f>'Main Dashboard'!$E$7</f>
        <v/>
      </c>
      <c r="F14" s="27">
        <f>'Main Dashboard'!$E$8</f>
        <v/>
      </c>
      <c r="G14" s="34">
        <f>B14*'Main Dashboard'!$B$21</f>
        <v/>
      </c>
    </row>
    <row r="16" ht="22" customHeight="1">
      <c r="A16" s="3" t="inlineStr">
        <is>
          <t>Time value burn</t>
        </is>
      </c>
    </row>
    <row r="17" ht="30" customHeight="1">
      <c r="A17" s="5" t="inlineStr">
        <is>
          <t>Measure</t>
        </is>
      </c>
      <c r="B17" s="5" t="inlineStr">
        <is>
          <t>Value</t>
        </is>
      </c>
      <c r="C17" s="5" t="inlineStr"/>
      <c r="D17" s="5" t="inlineStr"/>
      <c r="E17" s="5" t="inlineStr"/>
      <c r="F17" s="5" t="inlineStr"/>
      <c r="G17" s="5" t="inlineStr">
        <is>
          <t>Comment</t>
        </is>
      </c>
    </row>
    <row r="18">
      <c r="A18" s="8" t="inlineStr">
        <is>
          <t>Time value today ($/share)</t>
        </is>
      </c>
      <c r="B18" s="55" t="n">
        <v>7.2001</v>
      </c>
      <c r="G18" s="9" t="inlineStr">
        <is>
          <t>The whole premium when the call is out of the money</t>
        </is>
      </c>
    </row>
    <row r="19">
      <c r="A19" s="8" t="inlineStr">
        <is>
          <t>Time value lost in first 14 days ($/share)</t>
        </is>
      </c>
      <c r="B19" s="55" t="n">
        <v>2.1603</v>
      </c>
      <c r="G19" s="9" t="inlineStr">
        <is>
          <t>Decay is slow while the contract has time</t>
        </is>
      </c>
    </row>
    <row r="20">
      <c r="A20" s="8" t="inlineStr">
        <is>
          <t>Time value lost in last 14 days ($/share)</t>
        </is>
      </c>
      <c r="B20" s="55" t="n">
        <v>3.9142</v>
      </c>
      <c r="G20" s="9" t="inlineStr">
        <is>
          <t>Decay accelerates as expiry approaches</t>
        </is>
      </c>
    </row>
    <row r="21">
      <c r="A21" s="8" t="inlineStr">
        <is>
          <t>Position theta today ($/day)</t>
        </is>
      </c>
      <c r="B21" s="55" t="n">
        <v>-69.33</v>
      </c>
      <c r="G21" s="9" t="inlineStr">
        <is>
          <t>Dollar cost of one calendar day at the current price</t>
        </is>
      </c>
    </row>
    <row r="23" ht="22" customHeight="1">
      <c r="A23" s="3" t="inlineStr">
        <is>
          <t>What each Greek controls</t>
        </is>
      </c>
    </row>
    <row r="24">
      <c r="A24" s="36" t="inlineStr">
        <is>
          <t>Delta is the change in option value for a one dollar move in the stock. It also approximates the chance of finishing in the money.</t>
        </is>
      </c>
    </row>
    <row r="25">
      <c r="A25" s="36" t="inlineStr">
        <is>
          <t>Gamma is the change in delta. It is highest near the strike and it rises sharply in the final week.</t>
        </is>
      </c>
    </row>
    <row r="26">
      <c r="A26" s="36" t="inlineStr">
        <is>
          <t>Theta is the daily cost of time. For a bought call it is always negative.</t>
        </is>
      </c>
    </row>
    <row r="27">
      <c r="A27" s="36" t="inlineStr">
        <is>
          <t>Vega is the change in value per one point of implied volatility. A bought call gains when volatility rises and loses when it falls.</t>
        </is>
      </c>
    </row>
    <row r="28">
      <c r="A28" s="36" t="inlineStr">
        <is>
          <t>An earnings date inside the holding period usually inflates implied volatility beforehand and collapses it afterwards.</t>
        </is>
      </c>
    </row>
    <row r="30" ht="22" customHeight="1">
      <c r="A30" s="3" t="inlineStr">
        <is>
          <t>MarketXLS Functions Used in This Sheet</t>
        </is>
      </c>
    </row>
    <row r="31">
      <c r="A31" s="12">
        <f>opt_Delta(spot,price,expiry,"Call",strike)</f>
        <v/>
      </c>
      <c r="B31" s="13" t="inlineStr">
        <is>
          <t>Delta of the contract</t>
        </is>
      </c>
    </row>
    <row r="32">
      <c r="A32" s="12">
        <f>opt_Gamma(spot,price,expiry,"Call",strike)</f>
        <v/>
      </c>
      <c r="B32" s="13" t="inlineStr">
        <is>
          <t>Gamma of the contract</t>
        </is>
      </c>
    </row>
    <row r="33">
      <c r="A33" s="12">
        <f>opt_Theta(spot,price,expiry,"Call",strike)</f>
        <v/>
      </c>
      <c r="B33" s="13" t="inlineStr">
        <is>
          <t>Theta of the contract</t>
        </is>
      </c>
    </row>
    <row r="34">
      <c r="A34" s="12">
        <f>opt_Vega(spot,price,expiry,"Call",strike)</f>
        <v/>
      </c>
      <c r="B34" s="13" t="inlineStr">
        <is>
          <t>Vega of the contract</t>
        </is>
      </c>
    </row>
    <row r="35">
      <c r="A35" s="12">
        <f>opt_Rho(spot,price,expiry,"Call",strike)</f>
        <v/>
      </c>
      <c r="B35" s="13" t="inlineStr">
        <is>
          <t>Rho of the contract</t>
        </is>
      </c>
    </row>
    <row r="36">
      <c r="A36" s="12">
        <f>earnings_date("AAPL")</f>
        <v/>
      </c>
      <c r="B36" s="13" t="inlineStr">
        <is>
          <t>Earnings date that can reset implied volatility</t>
        </is>
      </c>
    </row>
    <row r="38" ht="20" customHeight="1">
      <c r="A38" s="14" t="inlineStr">
        <is>
          <t>Powered by MarketXLS   |   https://marketxls.com   |   Book a demo: https://marketxls.com/book-demo   |   https://optionxls.com</t>
        </is>
      </c>
    </row>
  </sheetData>
  <mergeCells count="17">
    <mergeCell ref="B34:G34"/>
    <mergeCell ref="A1:G1"/>
    <mergeCell ref="A27:G27"/>
    <mergeCell ref="B36:G36"/>
    <mergeCell ref="B31:G31"/>
    <mergeCell ref="A26:G26"/>
    <mergeCell ref="A24:G24"/>
    <mergeCell ref="A16:G16"/>
    <mergeCell ref="A2:G2"/>
    <mergeCell ref="A30:G30"/>
    <mergeCell ref="B32:G32"/>
    <mergeCell ref="A25:G25"/>
    <mergeCell ref="B35:G35"/>
    <mergeCell ref="A38:G38"/>
    <mergeCell ref="B33:G33"/>
    <mergeCell ref="A28:G28"/>
    <mergeCell ref="A23:G23"/>
  </mergeCells>
  <conditionalFormatting sqref="G5:G14">
    <cfRule type="colorScale" priority="1">
      <colorScale>
        <cfvo type="min"/>
        <cfvo type="max"/>
        <color rgb="00F8B4B4"/>
        <color rgb="00B7E1CD"/>
      </colorScale>
    </cfRule>
  </conditionalFormatting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0066CC"/>
    <outlinePr summaryBelow="1" summaryRight="1"/>
    <pageSetUpPr/>
  </sheetPr>
  <dimension ref="A1:I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2" customWidth="1" min="4" max="4"/>
    <col width="12" customWidth="1" min="5" max="5"/>
    <col width="16" customWidth="1" min="6" max="6"/>
    <col width="18" customWidth="1" min="7" max="7"/>
    <col width="16" customWidth="1" min="8" max="8"/>
    <col width="18" customWidth="1" min="9" max="9"/>
  </cols>
  <sheetData>
    <row r="1" ht="30" customHeight="1">
      <c r="A1" s="1" t="inlineStr">
        <is>
          <t>Watchlist - Call Buying Conditions</t>
        </is>
      </c>
    </row>
    <row r="2" ht="20" customHeight="1">
      <c r="A2" s="2" t="inlineStr">
        <is>
          <t>Near the money 2026-09-18 calls, quotes as of 2026-08-15</t>
        </is>
      </c>
    </row>
    <row r="4" ht="30" customHeight="1">
      <c r="A4" s="5" t="inlineStr">
        <is>
          <t>Ticker</t>
        </is>
      </c>
      <c r="B4" s="5" t="inlineStr">
        <is>
          <t>Company</t>
        </is>
      </c>
      <c r="C4" s="5" t="inlineStr">
        <is>
          <t>Spot ($)</t>
        </is>
      </c>
      <c r="D4" s="5" t="inlineStr">
        <is>
          <t>Strike ($)</t>
        </is>
      </c>
      <c r="E4" s="5" t="inlineStr">
        <is>
          <t>Ask ($)</t>
        </is>
      </c>
      <c r="F4" s="5" t="inlineStr">
        <is>
          <t>Implied vol</t>
        </is>
      </c>
      <c r="G4" s="5" t="inlineStr">
        <is>
          <t>Breakeven ($)</t>
        </is>
      </c>
      <c r="H4" s="5" t="inlineStr">
        <is>
          <t>Move to breakeven</t>
        </is>
      </c>
      <c r="I4" s="5" t="inlineStr">
        <is>
          <t>Put / call volume</t>
        </is>
      </c>
    </row>
    <row r="5">
      <c r="A5" s="56" t="inlineStr">
        <is>
          <t>AAPL</t>
        </is>
      </c>
      <c r="B5" s="9" t="inlineStr">
        <is>
          <t>Apple</t>
        </is>
      </c>
      <c r="C5" s="30">
        <f>QM_Last($A5)</f>
        <v/>
      </c>
      <c r="D5" s="30" t="n">
        <v>305</v>
      </c>
      <c r="E5" s="30">
        <f>Option_Ask(OptionSymbol($A5,'Main Dashboard'!$B$8,"Call",D5))</f>
        <v/>
      </c>
      <c r="F5" s="24">
        <f>ImpliedVolatility30d($A5)</f>
        <v/>
      </c>
      <c r="G5" s="30">
        <f>D5+E5</f>
        <v/>
      </c>
      <c r="H5" s="24">
        <f>(G5-C5)/C5</f>
        <v/>
      </c>
      <c r="I5" s="27">
        <f>opt_PutCallVolRatio($A5)</f>
        <v/>
      </c>
    </row>
    <row r="6">
      <c r="A6" s="57" t="inlineStr">
        <is>
          <t>MSFT</t>
        </is>
      </c>
      <c r="B6" s="7" t="inlineStr">
        <is>
          <t>Microsoft</t>
        </is>
      </c>
      <c r="C6" s="46">
        <f>QM_Last($A6)</f>
        <v/>
      </c>
      <c r="D6" s="46" t="n">
        <v>495</v>
      </c>
      <c r="E6" s="46">
        <f>Option_Ask(OptionSymbol($A6,'Main Dashboard'!$B$8,"Call",D6))</f>
        <v/>
      </c>
      <c r="F6" s="47">
        <f>ImpliedVolatility30d($A6)</f>
        <v/>
      </c>
      <c r="G6" s="46">
        <f>D6+E6</f>
        <v/>
      </c>
      <c r="H6" s="47">
        <f>(G6-C6)/C6</f>
        <v/>
      </c>
      <c r="I6" s="48">
        <f>opt_PutCallVolRatio($A6)</f>
        <v/>
      </c>
    </row>
    <row r="7">
      <c r="A7" s="56" t="inlineStr">
        <is>
          <t>NVDA</t>
        </is>
      </c>
      <c r="B7" s="9" t="inlineStr">
        <is>
          <t>NVIDIA</t>
        </is>
      </c>
      <c r="C7" s="30">
        <f>QM_Last($A7)</f>
        <v/>
      </c>
      <c r="D7" s="30" t="n">
        <v>225</v>
      </c>
      <c r="E7" s="30">
        <f>Option_Ask(OptionSymbol($A7,'Main Dashboard'!$B$8,"Call",D7))</f>
        <v/>
      </c>
      <c r="F7" s="24">
        <f>ImpliedVolatility30d($A7)</f>
        <v/>
      </c>
      <c r="G7" s="30">
        <f>D7+E7</f>
        <v/>
      </c>
      <c r="H7" s="24">
        <f>(G7-C7)/C7</f>
        <v/>
      </c>
      <c r="I7" s="27">
        <f>opt_PutCallVolRatio($A7)</f>
        <v/>
      </c>
    </row>
    <row r="8">
      <c r="A8" s="57" t="inlineStr">
        <is>
          <t>AMZN</t>
        </is>
      </c>
      <c r="B8" s="7" t="inlineStr">
        <is>
          <t>Amazon</t>
        </is>
      </c>
      <c r="C8" s="46">
        <f>QM_Last($A8)</f>
        <v/>
      </c>
      <c r="D8" s="46" t="n">
        <v>265</v>
      </c>
      <c r="E8" s="46">
        <f>Option_Ask(OptionSymbol($A8,'Main Dashboard'!$B$8,"Call",D8))</f>
        <v/>
      </c>
      <c r="F8" s="47">
        <f>ImpliedVolatility30d($A8)</f>
        <v/>
      </c>
      <c r="G8" s="46">
        <f>D8+E8</f>
        <v/>
      </c>
      <c r="H8" s="47">
        <f>(G8-C8)/C8</f>
        <v/>
      </c>
      <c r="I8" s="48">
        <f>opt_PutCallVolRatio($A8)</f>
        <v/>
      </c>
    </row>
    <row r="9">
      <c r="A9" s="56" t="inlineStr">
        <is>
          <t>GOOGL</t>
        </is>
      </c>
      <c r="B9" s="9" t="inlineStr">
        <is>
          <t>Alphabet</t>
        </is>
      </c>
      <c r="C9" s="30">
        <f>QM_Last($A9)</f>
        <v/>
      </c>
      <c r="D9" s="30" t="n">
        <v>345</v>
      </c>
      <c r="E9" s="30">
        <f>Option_Ask(OptionSymbol($A9,'Main Dashboard'!$B$8,"Call",D9))</f>
        <v/>
      </c>
      <c r="F9" s="24">
        <f>ImpliedVolatility30d($A9)</f>
        <v/>
      </c>
      <c r="G9" s="30">
        <f>D9+E9</f>
        <v/>
      </c>
      <c r="H9" s="24">
        <f>(G9-C9)/C9</f>
        <v/>
      </c>
      <c r="I9" s="27">
        <f>opt_PutCallVolRatio($A9)</f>
        <v/>
      </c>
    </row>
    <row r="10">
      <c r="A10" s="57" t="inlineStr">
        <is>
          <t>META</t>
        </is>
      </c>
      <c r="B10" s="7" t="inlineStr">
        <is>
          <t>Meta Platforms</t>
        </is>
      </c>
      <c r="C10" s="46">
        <f>QM_Last($A10)</f>
        <v/>
      </c>
      <c r="D10" s="46" t="n">
        <v>590</v>
      </c>
      <c r="E10" s="46">
        <f>Option_Ask(OptionSymbol($A10,'Main Dashboard'!$B$8,"Call",D10))</f>
        <v/>
      </c>
      <c r="F10" s="47">
        <f>ImpliedVolatility30d($A10)</f>
        <v/>
      </c>
      <c r="G10" s="46">
        <f>D10+E10</f>
        <v/>
      </c>
      <c r="H10" s="47">
        <f>(G10-C10)/C10</f>
        <v/>
      </c>
      <c r="I10" s="48">
        <f>opt_PutCallVolRatio($A10)</f>
        <v/>
      </c>
    </row>
    <row r="11">
      <c r="A11" s="56" t="inlineStr">
        <is>
          <t>AMD</t>
        </is>
      </c>
      <c r="B11" s="9" t="inlineStr">
        <is>
          <t>Adv Micro Dev</t>
        </is>
      </c>
      <c r="C11" s="30">
        <f>QM_Last($A11)</f>
        <v/>
      </c>
      <c r="D11" s="30" t="n">
        <v>510</v>
      </c>
      <c r="E11" s="30">
        <f>Option_Ask(OptionSymbol($A11,'Main Dashboard'!$B$8,"Call",D11))</f>
        <v/>
      </c>
      <c r="F11" s="24">
        <f>ImpliedVolatility30d($A11)</f>
        <v/>
      </c>
      <c r="G11" s="30">
        <f>D11+E11</f>
        <v/>
      </c>
      <c r="H11" s="24">
        <f>(G11-C11)/C11</f>
        <v/>
      </c>
      <c r="I11" s="27">
        <f>opt_PutCallVolRatio($A11)</f>
        <v/>
      </c>
    </row>
    <row r="12">
      <c r="A12" s="57" t="inlineStr">
        <is>
          <t>SPY</t>
        </is>
      </c>
      <c r="B12" s="7" t="inlineStr">
        <is>
          <t>SPDR S&amp;P 500</t>
        </is>
      </c>
      <c r="C12" s="46">
        <f>QM_Last($A12)</f>
        <v/>
      </c>
      <c r="D12" s="46" t="n">
        <v>776</v>
      </c>
      <c r="E12" s="46">
        <f>Option_Ask(OptionSymbol($A12,'Main Dashboard'!$B$8,"Call",D12))</f>
        <v/>
      </c>
      <c r="F12" s="47">
        <f>ImpliedVolatility30d($A12)</f>
        <v/>
      </c>
      <c r="G12" s="46">
        <f>D12+E12</f>
        <v/>
      </c>
      <c r="H12" s="47">
        <f>(G12-C12)/C12</f>
        <v/>
      </c>
      <c r="I12" s="48">
        <f>opt_PutCallVolRatio($A12)</f>
        <v/>
      </c>
    </row>
    <row r="14" ht="22" customHeight="1">
      <c r="A14" s="3" t="inlineStr">
        <is>
          <t>How to use this list</t>
        </is>
      </c>
    </row>
    <row r="15">
      <c r="A15" s="36" t="inlineStr">
        <is>
          <t>A high implied volatility raises the premium and pushes the breakeven further away. Cheap volatility is the friend of a call buyer.</t>
        </is>
      </c>
    </row>
    <row r="16">
      <c r="A16" s="36" t="inlineStr">
        <is>
          <t>Compare the move to breakeven against what the underlying actually moves in a month. A required move far above the normal range is a warning.</t>
        </is>
      </c>
    </row>
    <row r="17">
      <c r="A17" s="36" t="inlineStr">
        <is>
          <t>A put to call volume ratio well above one shows heavier put activity that day. Read it as context, not as a signal.</t>
        </is>
      </c>
    </row>
    <row r="18">
      <c r="A18" s="36" t="inlineStr">
        <is>
          <t>Type your own tickers in column A. Every other column recalculates.</t>
        </is>
      </c>
    </row>
    <row r="20" ht="22" customHeight="1">
      <c r="A20" s="3" t="inlineStr">
        <is>
          <t>MarketXLS Functions Used in This Sheet</t>
        </is>
      </c>
    </row>
    <row r="21">
      <c r="A21" s="12">
        <f>QM_Last("AAPL")</f>
        <v/>
      </c>
      <c r="B21" s="13" t="inlineStr">
        <is>
          <t>Spot price of each ticker</t>
        </is>
      </c>
    </row>
    <row r="22">
      <c r="A22" s="12">
        <f>OptionSymbol("AAPL",expiry,"Call",strike)</f>
        <v/>
      </c>
      <c r="B22" s="13" t="inlineStr">
        <is>
          <t>Contract symbol for each row</t>
        </is>
      </c>
    </row>
    <row r="23">
      <c r="A23" s="12">
        <f>Option_Ask(symbol)</f>
        <v/>
      </c>
      <c r="B23" s="13" t="inlineStr">
        <is>
          <t>Ask price of each call</t>
        </is>
      </c>
    </row>
    <row r="24">
      <c r="A24" s="12">
        <f>ImpliedVolatility30d("AAPL")</f>
        <v/>
      </c>
      <c r="B24" s="13" t="inlineStr">
        <is>
          <t>30 day implied volatility, decimal</t>
        </is>
      </c>
    </row>
    <row r="25">
      <c r="A25" s="12">
        <f>ImpliedVolatilityRank1y("AAPL")</f>
        <v/>
      </c>
      <c r="B25" s="13" t="inlineStr">
        <is>
          <t>Implied volatility rank over one year</t>
        </is>
      </c>
    </row>
    <row r="26">
      <c r="A26" s="12">
        <f>StockVolatilityThirtyDays("AAPL")</f>
        <v/>
      </c>
      <c r="B26" s="13" t="inlineStr">
        <is>
          <t>30 day realized volatility</t>
        </is>
      </c>
    </row>
    <row r="27">
      <c r="A27" s="12">
        <f>opt_PutCallVolRatio("AAPL")</f>
        <v/>
      </c>
      <c r="B27" s="13" t="inlineStr">
        <is>
          <t>Put volume divided by call volume</t>
        </is>
      </c>
    </row>
    <row r="28">
      <c r="A28" s="12">
        <f>Sector("AAPL")</f>
        <v/>
      </c>
      <c r="B28" s="13" t="inlineStr">
        <is>
          <t>Sector of the underlying</t>
        </is>
      </c>
    </row>
    <row r="30" ht="20" customHeight="1">
      <c r="A30" s="14" t="inlineStr">
        <is>
          <t>Powered by MarketXLS   |   https://marketxls.com   |   Book a demo: https://marketxls.com/book-demo   |   https://optionxls.com</t>
        </is>
      </c>
    </row>
  </sheetData>
  <mergeCells count="17">
    <mergeCell ref="A15:I15"/>
    <mergeCell ref="B21:I21"/>
    <mergeCell ref="A2:I2"/>
    <mergeCell ref="B25:I25"/>
    <mergeCell ref="B24:I24"/>
    <mergeCell ref="A14:I14"/>
    <mergeCell ref="A1:I1"/>
    <mergeCell ref="A17:I17"/>
    <mergeCell ref="A18:I18"/>
    <mergeCell ref="B22:I22"/>
    <mergeCell ref="B28:I28"/>
    <mergeCell ref="B23:I23"/>
    <mergeCell ref="B27:I27"/>
    <mergeCell ref="A20:I20"/>
    <mergeCell ref="A30:I30"/>
    <mergeCell ref="A16:I16"/>
    <mergeCell ref="B26:I26"/>
  </mergeCells>
  <conditionalFormatting sqref="F5:F12">
    <cfRule type="colorScale" priority="1">
      <colorScale>
        <cfvo type="min"/>
        <cfvo type="max"/>
        <color rgb="00B7E1CD"/>
        <color rgb="00F8B4B4"/>
      </colorScale>
    </cfRule>
  </conditionalFormatting>
  <conditionalFormatting sqref="H5:H12">
    <cfRule type="colorScale" priority="2">
      <colorScale>
        <cfvo type="min"/>
        <cfvo type="max"/>
        <color rgb="00B7E1CD"/>
        <color rgb="00F8B4B4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MarketXLS</dc:creator>
  <dc:title>Call Option Profit Calculator</dc:title>
  <dcterms:created xsi:type="dcterms:W3CDTF">2026-08-15T17:19:37Z</dcterms:created>
  <dcterms:modified xsi:type="dcterms:W3CDTF">2026-08-15T17:19:37Z</dcterms:modified>
</cp:coreProperties>
</file>