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Main Dashboard" sheetId="2" state="visible" r:id="rId2"/>
    <sheet name="Scenario Analysis" sheetId="3" state="visible" r:id="rId3"/>
    <sheet name="Strike Selection" sheetId="4" state="visible" r:id="rId4"/>
    <sheet name="Position Sizing" sheetId="5" state="visible" r:id="rId5"/>
    <sheet name="Implied Density" sheetId="6" state="visible" r:id="rId6"/>
  </sheets>
  <definedNames/>
  <calcPr calcId="124519" fullCalcOnLoad="1"/>
</workbook>
</file>

<file path=xl/styles.xml><?xml version="1.0" encoding="utf-8"?>
<styleSheet xmlns="http://schemas.openxmlformats.org/spreadsheetml/2006/main">
  <numFmts count="9">
    <numFmt numFmtId="164" formatCode="+0;-0"/>
    <numFmt numFmtId="165" formatCode="$#,##0.00"/>
    <numFmt numFmtId="166" formatCode="0.00 &quot;to 1&quot;"/>
    <numFmt numFmtId="167" formatCode="0.0000"/>
    <numFmt numFmtId="168" formatCode="+0.00%;-0.00%"/>
    <numFmt numFmtId="169" formatCode="0.0%"/>
    <numFmt numFmtId="170" formatCode="$#,##0"/>
    <numFmt numFmtId="171" formatCode="0.000000"/>
    <numFmt numFmtId="172" formatCode="0.000"/>
  </numFmts>
  <fonts count="18">
    <font>
      <name val="Calibri"/>
      <family val="2"/>
      <color theme="1"/>
      <sz val="11"/>
      <scheme val="minor"/>
    </font>
    <font>
      <name val="Calibri"/>
      <b val="1"/>
      <color rgb="00FFFFFF"/>
      <sz val="14"/>
    </font>
    <font>
      <name val="Calibri"/>
      <b val="1"/>
      <color rgb="00003366"/>
      <sz val="11"/>
    </font>
    <font>
      <name val="Calibri"/>
      <b val="1"/>
      <color rgb="00FFFFFF"/>
      <sz val="11"/>
    </font>
    <font>
      <name val="Calibri"/>
      <color rgb="00000000"/>
      <sz val="10"/>
    </font>
    <font>
      <name val="Calibri"/>
      <color rgb="006B7280"/>
      <sz val="10"/>
    </font>
    <font>
      <name val="Calibri"/>
      <color rgb="000066CC"/>
      <sz val="11"/>
    </font>
    <font>
      <name val="Calibri"/>
      <b val="1"/>
      <color rgb="00003366"/>
      <sz val="10"/>
    </font>
    <font>
      <name val="Calibri"/>
      <i val="1"/>
      <color rgb="006B7280"/>
      <sz val="10"/>
    </font>
    <font>
      <name val="Calibri"/>
      <color rgb="006B7280"/>
      <sz val="9"/>
    </font>
    <font>
      <name val="Calibri"/>
      <color rgb="00000000"/>
      <sz val="11"/>
    </font>
    <font>
      <name val="Calibri"/>
      <b val="1"/>
      <color rgb="00000000"/>
      <sz val="11"/>
    </font>
    <font>
      <name val="Calibri"/>
      <b val="1"/>
      <color rgb="002A9D8F"/>
      <sz val="11"/>
    </font>
    <font>
      <name val="Calibri"/>
      <b val="1"/>
      <color rgb="00D62828"/>
      <sz val="11"/>
    </font>
    <font>
      <name val="Calibri"/>
      <color rgb="00FFFFFF"/>
      <sz val="10"/>
    </font>
    <font>
      <name val="Calibri"/>
      <color rgb="002A9D8F"/>
      <sz val="11"/>
    </font>
    <font>
      <name val="Calibri"/>
      <color rgb="00D62828"/>
      <sz val="11"/>
    </font>
    <font>
      <name val="Calibri"/>
      <b val="1"/>
      <color rgb="00000000"/>
      <sz val="10"/>
    </font>
  </fonts>
  <fills count="10">
    <fill>
      <patternFill/>
    </fill>
    <fill>
      <patternFill patternType="gray125"/>
    </fill>
    <fill>
      <patternFill patternType="solid">
        <fgColor rgb="000066CC"/>
      </patternFill>
    </fill>
    <fill>
      <patternFill patternType="solid">
        <fgColor rgb="00F8FAFC"/>
      </patternFill>
    </fill>
    <fill>
      <patternFill patternType="solid">
        <fgColor rgb="00003366"/>
      </patternFill>
    </fill>
    <fill>
      <patternFill patternType="solid">
        <fgColor rgb="00FFFF00"/>
      </patternFill>
    </fill>
    <fill>
      <patternFill patternType="solid">
        <fgColor rgb="00F4F6F8"/>
      </patternFill>
    </fill>
    <fill>
      <patternFill patternType="solid">
        <fgColor rgb="002A9D8F"/>
      </patternFill>
    </fill>
    <fill>
      <patternFill patternType="solid">
        <fgColor rgb="00F4A261"/>
      </patternFill>
    </fill>
    <fill>
      <patternFill patternType="solid">
        <fgColor rgb="00D62828"/>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4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3" fillId="4" borderId="1" applyAlignment="1" pivotButton="0" quotePrefix="0" xfId="0">
      <alignment horizontal="left" vertical="center" wrapText="1"/>
    </xf>
    <xf numFmtId="0" fontId="4" fillId="0" borderId="1" applyAlignment="1" pivotButton="0" quotePrefix="0" xfId="0">
      <alignment horizontal="left" vertical="center" wrapText="1"/>
    </xf>
    <xf numFmtId="0" fontId="3" fillId="2" borderId="1" applyAlignment="1" pivotButton="0" quotePrefix="0" xfId="0">
      <alignment horizontal="center" vertical="center" wrapText="1"/>
    </xf>
    <xf numFmtId="0" fontId="2" fillId="0" borderId="1" applyAlignment="1" pivotButton="0" quotePrefix="0" xfId="0">
      <alignment horizontal="left" vertical="center" wrapText="1"/>
    </xf>
    <xf numFmtId="0" fontId="5" fillId="0" borderId="1" applyAlignment="1" pivotButton="0" quotePrefix="0" xfId="0">
      <alignment horizontal="left" vertical="center" wrapText="1"/>
    </xf>
    <xf numFmtId="0" fontId="6" fillId="0" borderId="1" applyAlignment="1" pivotButton="0" quotePrefix="0" xfId="0">
      <alignment horizontal="left" vertical="center" wrapText="1"/>
    </xf>
    <xf numFmtId="0" fontId="7" fillId="3" borderId="1" applyAlignment="1" pivotButton="0" quotePrefix="0" xfId="0">
      <alignment horizontal="left" vertical="center" wrapText="1"/>
    </xf>
    <xf numFmtId="0" fontId="8" fillId="0" borderId="1" applyAlignment="1" pivotButton="0" quotePrefix="0" xfId="0">
      <alignment horizontal="left" vertical="center" wrapText="1"/>
    </xf>
    <xf numFmtId="0" fontId="9" fillId="3" borderId="1" applyAlignment="1" pivotButton="0" quotePrefix="0" xfId="0">
      <alignment horizontal="center" vertical="center" wrapText="1"/>
    </xf>
    <xf numFmtId="0" fontId="10" fillId="4" borderId="1" applyAlignment="1" pivotButton="0" quotePrefix="0" xfId="0">
      <alignment horizontal="left" vertical="center" wrapText="1"/>
    </xf>
    <xf numFmtId="0" fontId="11" fillId="0" borderId="1" applyAlignment="1" pivotButton="0" quotePrefix="0" xfId="0">
      <alignment horizontal="left" vertical="center" wrapText="1"/>
    </xf>
    <xf numFmtId="0" fontId="11" fillId="5" borderId="2" applyAlignment="1" pivotButton="0" quotePrefix="0" xfId="0">
      <alignment horizontal="center" vertical="center" wrapText="1"/>
    </xf>
    <xf numFmtId="2" fontId="11" fillId="5" borderId="2" applyAlignment="1" pivotButton="0" quotePrefix="0" xfId="0">
      <alignment horizontal="center" vertical="center" wrapText="1"/>
    </xf>
    <xf numFmtId="10" fontId="11" fillId="5" borderId="2" applyAlignment="1" pivotButton="0" quotePrefix="0" xfId="0">
      <alignment horizontal="center" vertical="center" wrapText="1"/>
    </xf>
    <xf numFmtId="1" fontId="11" fillId="5" borderId="2" applyAlignment="1" pivotButton="0" quotePrefix="0" xfId="0">
      <alignment horizontal="center" vertical="center" wrapText="1"/>
    </xf>
    <xf numFmtId="2" fontId="11" fillId="0" borderId="1" applyAlignment="1" pivotButton="0" quotePrefix="0" xfId="0">
      <alignment horizontal="center" vertical="center" wrapText="1"/>
    </xf>
    <xf numFmtId="1" fontId="11" fillId="0" borderId="1" applyAlignment="1" pivotButton="0" quotePrefix="0" xfId="0">
      <alignment horizontal="center" vertical="center" wrapText="1"/>
    </xf>
    <xf numFmtId="10" fontId="11" fillId="0" borderId="1" applyAlignment="1" pivotButton="0" quotePrefix="0" xfId="0">
      <alignment horizontal="center" vertical="center" wrapText="1"/>
    </xf>
    <xf numFmtId="0" fontId="11" fillId="0" borderId="1" applyAlignment="1" pivotButton="0" quotePrefix="0" xfId="0">
      <alignment horizontal="center" vertical="center" wrapText="1"/>
    </xf>
    <xf numFmtId="2" fontId="10" fillId="0" borderId="1" applyAlignment="1" pivotButton="0" quotePrefix="0" xfId="0">
      <alignment horizontal="center" vertical="center" wrapText="1"/>
    </xf>
    <xf numFmtId="164" fontId="12" fillId="0" borderId="1" applyAlignment="1" pivotButton="0" quotePrefix="0" xfId="0">
      <alignment horizontal="center" vertical="center" wrapText="1"/>
    </xf>
    <xf numFmtId="10" fontId="10" fillId="0" borderId="1" applyAlignment="1" pivotButton="0" quotePrefix="0" xfId="0">
      <alignment horizontal="center" vertical="center" wrapText="1"/>
    </xf>
    <xf numFmtId="164" fontId="13" fillId="0" borderId="1" applyAlignment="1" pivotButton="0" quotePrefix="0" xfId="0">
      <alignment horizontal="center" vertical="center" wrapText="1"/>
    </xf>
    <xf numFmtId="165" fontId="11" fillId="0" borderId="1" applyAlignment="1" pivotButton="0" quotePrefix="0" xfId="0">
      <alignment horizontal="center" vertical="center" wrapText="1"/>
    </xf>
    <xf numFmtId="0" fontId="9" fillId="0" borderId="1" applyAlignment="1" pivotButton="0" quotePrefix="0" xfId="0">
      <alignment horizontal="left" vertical="center" wrapText="1"/>
    </xf>
    <xf numFmtId="165" fontId="12" fillId="0" borderId="1" applyAlignment="1" pivotButton="0" quotePrefix="0" xfId="0">
      <alignment horizontal="center" vertical="center" wrapText="1"/>
    </xf>
    <xf numFmtId="165" fontId="13" fillId="0" borderId="1" applyAlignment="1" pivotButton="0" quotePrefix="0" xfId="0">
      <alignment horizontal="center" vertical="center" wrapText="1"/>
    </xf>
    <xf numFmtId="166" fontId="11" fillId="0" borderId="1" applyAlignment="1" pivotButton="0" quotePrefix="0" xfId="0">
      <alignment horizontal="center" vertical="center" wrapText="1"/>
    </xf>
    <xf numFmtId="167" fontId="11" fillId="0" borderId="1" applyAlignment="1" pivotButton="0" quotePrefix="0" xfId="0">
      <alignment horizontal="center" vertical="center" wrapText="1"/>
    </xf>
    <xf numFmtId="168" fontId="10" fillId="0" borderId="1" applyAlignment="1" pivotButton="0" quotePrefix="0" xfId="0">
      <alignment horizontal="center" vertical="center" wrapText="1"/>
    </xf>
    <xf numFmtId="165" fontId="10"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4" fillId="6" borderId="1" applyAlignment="1" pivotButton="0" quotePrefix="0" xfId="0">
      <alignment horizontal="center" vertical="center" wrapText="1"/>
    </xf>
    <xf numFmtId="0" fontId="14" fillId="7" borderId="1" applyAlignment="1" pivotButton="0" quotePrefix="0" xfId="0">
      <alignment horizontal="center" vertical="center" wrapText="1"/>
    </xf>
    <xf numFmtId="167" fontId="10" fillId="0" borderId="1" applyAlignment="1" pivotButton="0" quotePrefix="0" xfId="0">
      <alignment horizontal="center" vertical="center" wrapText="1"/>
    </xf>
    <xf numFmtId="169" fontId="10" fillId="0" borderId="1" applyAlignment="1" pivotButton="0" quotePrefix="0" xfId="0">
      <alignment horizontal="center" vertical="center" wrapText="1"/>
    </xf>
    <xf numFmtId="165" fontId="15" fillId="0" borderId="1" applyAlignment="1" pivotButton="0" quotePrefix="0" xfId="0">
      <alignment horizontal="center" vertical="center" wrapText="1"/>
    </xf>
    <xf numFmtId="165" fontId="16" fillId="0" borderId="1" applyAlignment="1" pivotButton="0" quotePrefix="0" xfId="0">
      <alignment horizontal="center" vertical="center" wrapText="1"/>
    </xf>
    <xf numFmtId="170" fontId="11" fillId="5" borderId="2" applyAlignment="1" pivotButton="0" quotePrefix="0" xfId="0">
      <alignment horizontal="center" vertical="center" wrapText="1"/>
    </xf>
    <xf numFmtId="170" fontId="10" fillId="0" borderId="1" applyAlignment="1" pivotButton="0" quotePrefix="0" xfId="0">
      <alignment horizontal="center" vertical="center" wrapText="1"/>
    </xf>
    <xf numFmtId="0" fontId="17" fillId="0" borderId="1" applyAlignment="1" pivotButton="0" quotePrefix="0" xfId="0">
      <alignment horizontal="left" vertical="center" wrapText="1"/>
    </xf>
    <xf numFmtId="171" fontId="10" fillId="0" borderId="1" applyAlignment="1" pivotButton="0" quotePrefix="0" xfId="0">
      <alignment horizontal="center" vertical="center" wrapText="1"/>
    </xf>
    <xf numFmtId="172" fontId="3" fillId="7" borderId="1" applyAlignment="1" pivotButton="0" quotePrefix="0" xfId="0">
      <alignment horizontal="center" vertical="center" wrapText="1"/>
    </xf>
    <xf numFmtId="172" fontId="3" fillId="8" borderId="1" applyAlignment="1" pivotButton="0" quotePrefix="0" xfId="0">
      <alignment horizontal="center" vertical="center" wrapText="1"/>
    </xf>
    <xf numFmtId="172" fontId="3" fillId="9" borderId="1" applyAlignment="1" pivotButton="0" quotePrefix="0" xfId="0">
      <alignment horizontal="center" vertical="center" wrapText="1"/>
    </xf>
    <xf numFmtId="171" fontId="12"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5"/>
  <sheetViews>
    <sheetView workbookViewId="0">
      <pane ySplit="2" topLeftCell="A3" activePane="bottomLeft" state="frozen"/>
      <selection pane="bottomLeft" activeCell="A1" sqref="A1"/>
    </sheetView>
  </sheetViews>
  <sheetFormatPr baseColWidth="8" defaultRowHeight="15"/>
  <cols>
    <col width="30" customWidth="1" min="1" max="1"/>
    <col width="26" customWidth="1" min="2" max="2"/>
    <col width="26" customWidth="1" min="3" max="3"/>
    <col width="26" customWidth="1" min="4" max="4"/>
    <col width="26" customWidth="1" min="5" max="5"/>
    <col width="22" customWidth="1" min="6" max="6"/>
  </cols>
  <sheetData>
    <row r="1" ht="26" customHeight="1">
      <c r="A1" s="1" t="inlineStr">
        <is>
          <t>Butterfly Spread Calculator</t>
        </is>
      </c>
    </row>
    <row r="2">
      <c r="A2" s="2" t="inlineStr">
        <is>
          <t>MarketXLS live formula version</t>
        </is>
      </c>
    </row>
    <row r="4">
      <c r="A4" s="3" t="inlineStr">
        <is>
          <t>What this workbook does</t>
        </is>
      </c>
    </row>
    <row r="5" ht="30" customHeight="1">
      <c r="A5" s="4" t="inlineStr">
        <is>
          <t>A butterfly spread buys one lower strike, sells two of a middle strike, and buys one upper strike, all in the same expiration.</t>
        </is>
      </c>
    </row>
    <row r="6" ht="30" customHeight="1">
      <c r="A6" s="4" t="inlineStr">
        <is>
          <t>The position pays the most when the underlying finishes exactly at the middle strike, which this workbook calls the body.</t>
        </is>
      </c>
    </row>
    <row r="7" ht="30" customHeight="1">
      <c r="A7" s="4" t="inlineStr">
        <is>
          <t>This calculator prices all three legs, then reports the net debit, both breakevens, the maximum profit, the maximum loss and the odds.</t>
        </is>
      </c>
    </row>
    <row r="8" ht="30" customHeight="1">
      <c r="A8" s="4" t="inlineStr">
        <is>
          <t>It prices each leg at its own implied volatility. A butterfly is the curvature of the volatility smile, so one volatility for all three legs gives a wrong answer.</t>
        </is>
      </c>
    </row>
    <row r="9" ht="30" customHeight="1">
      <c r="A9" s="4" t="inlineStr">
        <is>
          <t>Change the yellow input cells on Main Dashboard and every other sheet updates.</t>
        </is>
      </c>
    </row>
    <row r="11" ht="30" customHeight="1">
      <c r="A11" s="5" t="inlineStr">
        <is>
          <t>Sheet</t>
        </is>
      </c>
      <c r="B11" s="5" t="inlineStr">
        <is>
          <t>What it holds</t>
        </is>
      </c>
      <c r="C11" s="5" t="inlineStr">
        <is>
          <t>Read it for</t>
        </is>
      </c>
    </row>
    <row r="12" ht="34" customHeight="1">
      <c r="A12" s="6" t="inlineStr">
        <is>
          <t>Main Dashboard</t>
        </is>
      </c>
      <c r="B12" s="4" t="inlineStr">
        <is>
          <t>Yellow inputs, the three leg quotes, net debit, breakevens, maximum profit and loss, net Greeks</t>
        </is>
      </c>
      <c r="E12" s="7" t="inlineStr">
        <is>
          <t>The complete price of one butterfly</t>
        </is>
      </c>
    </row>
    <row r="13" ht="34" customHeight="1">
      <c r="A13" s="6" t="inlineStr">
        <is>
          <t>Scenario Analysis</t>
        </is>
      </c>
      <c r="B13" s="4" t="inlineStr">
        <is>
          <t>Profit and loss across underlying prices at expiration, and the value of the position before expiration</t>
        </is>
      </c>
      <c r="E13" s="7" t="inlineStr">
        <is>
          <t>What the position is worth if you do not hold to the last day</t>
        </is>
      </c>
    </row>
    <row r="14" ht="34" customHeight="1">
      <c r="A14" s="6" t="inlineStr">
        <is>
          <t>Strike Selection</t>
        </is>
      </c>
      <c r="B14" s="4" t="inlineStr">
        <is>
          <t>Wing width sweep and body placement sweep with cost, reward to risk and probability of profit</t>
        </is>
      </c>
      <c r="E14" s="7" t="inlineStr">
        <is>
          <t>Which butterfly to build, and what each choice costs</t>
        </is>
      </c>
    </row>
    <row r="15" ht="34" customHeight="1">
      <c r="A15" s="6" t="inlineStr">
        <is>
          <t>Position Sizing</t>
        </is>
      </c>
      <c r="B15" s="4" t="inlineStr">
        <is>
          <t>Contracts from portfolio size and risk tolerance</t>
        </is>
      </c>
      <c r="E15" s="7" t="inlineStr">
        <is>
          <t>How many contracts the account can carry</t>
        </is>
      </c>
    </row>
    <row r="16" ht="34" customHeight="1">
      <c r="A16" s="6" t="inlineStr">
        <is>
          <t>Implied Density</t>
        </is>
      </c>
      <c r="B16" s="4" t="inlineStr">
        <is>
          <t>The butterfly price at every body strike, turned into the market's own probability distribution</t>
        </is>
      </c>
      <c r="E16" s="7" t="inlineStr">
        <is>
          <t>What the option market thinks the odds are</t>
        </is>
      </c>
    </row>
    <row r="18">
      <c r="A18" s="3" t="inlineStr">
        <is>
          <t>The three inputs that decide everything</t>
        </is>
      </c>
    </row>
    <row r="19" ht="32" customHeight="1">
      <c r="A19" s="6" t="inlineStr">
        <is>
          <t>Underlying symbol and expiration</t>
        </is>
      </c>
      <c r="B19" s="4" t="inlineStr">
        <is>
          <t>Every option symbol in the workbook is built from these two cells with OptionSymbol, so changing them reprices everything.</t>
        </is>
      </c>
    </row>
    <row r="20" ht="32" customHeight="1">
      <c r="A20" s="6" t="inlineStr">
        <is>
          <t>Body strike</t>
        </is>
      </c>
      <c r="B20" s="4" t="inlineStr">
        <is>
          <t>The middle strike. Maximum profit sits on this single price, which is why the probability of collecting it is close to zero.</t>
        </is>
      </c>
    </row>
    <row r="21" ht="32" customHeight="1">
      <c r="A21" s="6" t="inlineStr">
        <is>
          <t>Wing width</t>
        </is>
      </c>
      <c r="B21" s="4" t="inlineStr">
        <is>
          <t>The distance from the body to each outer strike. Wider wings cost more, widen the profit zone and lower the reward to risk ratio.</t>
        </is>
      </c>
    </row>
    <row r="23">
      <c r="A23" s="3" t="inlineStr">
        <is>
          <t>Links</t>
        </is>
      </c>
    </row>
    <row r="24">
      <c r="A24" s="6" t="inlineStr">
        <is>
          <t>MarketXLS</t>
        </is>
      </c>
      <c r="B24" s="8" t="inlineStr">
        <is>
          <t>https://marketxls.com</t>
        </is>
      </c>
    </row>
    <row r="25">
      <c r="A25" s="6" t="inlineStr">
        <is>
          <t>Book a demo</t>
        </is>
      </c>
      <c r="B25" s="8" t="inlineStr">
        <is>
          <t>https://marketxls.com/book-demo</t>
        </is>
      </c>
    </row>
    <row r="27">
      <c r="A27" s="3" t="inlineStr">
        <is>
          <t>MarketXLS Functions Used in This Sheet</t>
        </is>
      </c>
    </row>
    <row r="28">
      <c r="A28" s="9" t="inlineStr">
        <is>
          <t>=OptionSymbol("SPY","2026-09-18","Call",778)</t>
        </is>
      </c>
      <c r="B28" s="7" t="inlineStr">
        <is>
          <t>Builds the contract symbol every option level function needs</t>
        </is>
      </c>
    </row>
    <row r="29">
      <c r="A29" s="9" t="inlineStr">
        <is>
          <t>=Bid("@SPY  260918C00778000")</t>
        </is>
      </c>
      <c r="B29" s="7" t="inlineStr">
        <is>
          <t>Live bid for one contract</t>
        </is>
      </c>
    </row>
    <row r="30">
      <c r="A30" s="9" t="inlineStr">
        <is>
          <t>=Ask("@SPY  260918C00778000")</t>
        </is>
      </c>
      <c r="B30" s="7" t="inlineStr">
        <is>
          <t>Live ask for one contract</t>
        </is>
      </c>
    </row>
    <row r="31">
      <c r="A31" s="9" t="inlineStr">
        <is>
          <t>=QM_Last("SPY")</t>
        </is>
      </c>
      <c r="B31" s="7" t="inlineStr">
        <is>
          <t>Current underlying price</t>
        </is>
      </c>
    </row>
    <row r="32">
      <c r="A32" s="9" t="inlineStr">
        <is>
          <t>=OPT_DaysToExpiration("@SPY  260918C00778000")</t>
        </is>
      </c>
      <c r="B32" s="7" t="inlineStr">
        <is>
          <t>Calendar days left, which drives every time value figure</t>
        </is>
      </c>
    </row>
    <row r="33">
      <c r="A33" s="10" t="inlineStr">
        <is>
          <t>These are live MarketXLS formulas and they drive every value on this sheet.</t>
        </is>
      </c>
    </row>
    <row r="35">
      <c r="A35" s="11" t="inlineStr">
        <is>
          <t>Powered by MarketXLS   |   https://marketxls.com   |   Book a demo: https://marketxls.com/book-demo</t>
        </is>
      </c>
    </row>
  </sheetData>
  <mergeCells count="33">
    <mergeCell ref="E12:F12"/>
    <mergeCell ref="B14:D14"/>
    <mergeCell ref="B25:F25"/>
    <mergeCell ref="A27:F27"/>
    <mergeCell ref="B13:D13"/>
    <mergeCell ref="B31:F31"/>
    <mergeCell ref="E14:F14"/>
    <mergeCell ref="A18:F18"/>
    <mergeCell ref="B21:F21"/>
    <mergeCell ref="A2:F2"/>
    <mergeCell ref="A33:F33"/>
    <mergeCell ref="A5:F5"/>
    <mergeCell ref="A23:F23"/>
    <mergeCell ref="A8:F8"/>
    <mergeCell ref="E13:F13"/>
    <mergeCell ref="A35:F35"/>
    <mergeCell ref="A4:F4"/>
    <mergeCell ref="B15:D15"/>
    <mergeCell ref="B29:F29"/>
    <mergeCell ref="E15:F15"/>
    <mergeCell ref="B32:F32"/>
    <mergeCell ref="B28:F28"/>
    <mergeCell ref="A9:F9"/>
    <mergeCell ref="B19:F19"/>
    <mergeCell ref="B16:D16"/>
    <mergeCell ref="B30:F30"/>
    <mergeCell ref="E16:F16"/>
    <mergeCell ref="B24:F24"/>
    <mergeCell ref="B20:F20"/>
    <mergeCell ref="A1:F1"/>
    <mergeCell ref="A6:F6"/>
    <mergeCell ref="B12:D12"/>
    <mergeCell ref="A7:F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61"/>
  <sheetViews>
    <sheetView workbookViewId="0">
      <pane ySplit="3" topLeftCell="A4" activePane="bottomLeft" state="frozen"/>
      <selection pane="bottomLeft" activeCell="A1" sqref="A1"/>
    </sheetView>
  </sheetViews>
  <sheetFormatPr baseColWidth="8" defaultRowHeight="15"/>
  <cols>
    <col width="30" customWidth="1" min="1" max="1"/>
    <col width="17" customWidth="1" min="2" max="2"/>
    <col width="17" customWidth="1" min="3" max="3"/>
    <col width="15" customWidth="1" min="4" max="4"/>
    <col width="15" customWidth="1" min="5" max="5"/>
    <col width="15" customWidth="1" min="6" max="6"/>
    <col width="34" customWidth="1" min="7" max="7"/>
  </cols>
  <sheetData>
    <row r="1" ht="26" customHeight="1">
      <c r="A1" s="1" t="inlineStr">
        <is>
          <t>Butterfly Spread Calculator - Main Dashboard</t>
        </is>
      </c>
    </row>
    <row r="3">
      <c r="A3" s="3" t="inlineStr">
        <is>
          <t>INPUTS</t>
        </is>
      </c>
      <c r="B3" s="12" t="inlineStr"/>
      <c r="C3" s="12" t="inlineStr"/>
      <c r="D3" s="12" t="inlineStr"/>
      <c r="E3" s="12" t="inlineStr"/>
      <c r="F3" s="12" t="inlineStr"/>
      <c r="G3" s="12" t="inlineStr"/>
    </row>
    <row r="4">
      <c r="A4" s="13" t="inlineStr">
        <is>
          <t>Underlying symbol</t>
        </is>
      </c>
      <c r="B4" s="14" t="inlineStr">
        <is>
          <t>SPY</t>
        </is>
      </c>
      <c r="G4" s="10" t="inlineStr">
        <is>
          <t>Yellow cells are inputs. Change them and every sheet recalculates.</t>
        </is>
      </c>
    </row>
    <row r="5">
      <c r="A5" s="13" t="inlineStr">
        <is>
          <t>Expiration date</t>
        </is>
      </c>
      <c r="B5" s="14" t="inlineStr">
        <is>
          <t>2026-09-18</t>
        </is>
      </c>
    </row>
    <row r="6">
      <c r="A6" s="13" t="inlineStr">
        <is>
          <t>Body strike (middle)</t>
        </is>
      </c>
      <c r="B6" s="15" t="n">
        <v>778</v>
      </c>
    </row>
    <row r="7">
      <c r="A7" s="13" t="inlineStr">
        <is>
          <t>Wing width (points)</t>
        </is>
      </c>
      <c r="B7" s="15" t="n">
        <v>10</v>
      </c>
      <c r="G7" s="10" t="inlineStr">
        <is>
          <t>Wing width is the distance from the body to each wing.</t>
        </is>
      </c>
    </row>
    <row r="8">
      <c r="A8" s="13" t="inlineStr">
        <is>
          <t>Risk free rate</t>
        </is>
      </c>
      <c r="B8" s="16" t="n">
        <v>0.03697000026702881</v>
      </c>
    </row>
    <row r="9">
      <c r="A9" s="13" t="inlineStr">
        <is>
          <t>Dividend yield</t>
        </is>
      </c>
      <c r="B9" s="16" t="n">
        <v>0.01756727316515696</v>
      </c>
    </row>
    <row r="10">
      <c r="A10" s="13" t="inlineStr">
        <is>
          <t>Contracts</t>
        </is>
      </c>
      <c r="B10" s="17" t="n">
        <v>1</v>
      </c>
    </row>
    <row r="12">
      <c r="A12" s="3" t="inlineStr">
        <is>
          <t>Underlying and volatility</t>
        </is>
      </c>
    </row>
    <row r="13" ht="30" customHeight="1">
      <c r="A13" s="5" t="inlineStr">
        <is>
          <t>Measure</t>
        </is>
      </c>
      <c r="B13" s="5" t="inlineStr">
        <is>
          <t>Value</t>
        </is>
      </c>
      <c r="C13" s="5" t="inlineStr">
        <is>
          <t>MarketXLS formula</t>
        </is>
      </c>
    </row>
    <row r="14">
      <c r="A14" s="13" t="inlineStr">
        <is>
          <t>Underlying last</t>
        </is>
      </c>
      <c r="B14" s="18">
        <f>QM_Last($B$4)</f>
        <v/>
      </c>
      <c r="C14" s="7" t="inlineStr">
        <is>
          <t>=QM_Last($B$4)</t>
        </is>
      </c>
    </row>
    <row r="15">
      <c r="A15" s="13" t="inlineStr">
        <is>
          <t>Days to expiration</t>
        </is>
      </c>
      <c r="B15" s="19">
        <f>OPT_DaysToExpiration(OptionSymbol($B$4,$B$5,"Call",$B$6))</f>
        <v/>
      </c>
      <c r="C15" s="7" t="inlineStr">
        <is>
          <t>=OPT_DaysToExpiration(OptionSymbol($B$4,$B$5,"Call",$B$6))</t>
        </is>
      </c>
    </row>
    <row r="16">
      <c r="A16" s="13" t="inlineStr">
        <is>
          <t>Forward price</t>
        </is>
      </c>
      <c r="B16" s="18">
        <f>$B$14*EXP(($B$8-$B$9)*$B$15/365)</f>
        <v/>
      </c>
      <c r="C16" s="7" t="inlineStr">
        <is>
          <t>=$B$14*EXP(($B$8-$B$9)*$B$15/365)</t>
        </is>
      </c>
    </row>
    <row r="17">
      <c r="A17" s="13" t="inlineStr">
        <is>
          <t>30 day implied volatility</t>
        </is>
      </c>
      <c r="B17" s="20">
        <f>ImpliedVolatility30d($B$4)</f>
        <v/>
      </c>
      <c r="C17" s="7" t="inlineStr">
        <is>
          <t>=ImpliedVolatility30d($B$4)</t>
        </is>
      </c>
    </row>
    <row r="18">
      <c r="A18" s="13" t="inlineStr">
        <is>
          <t>Implied volatility rank</t>
        </is>
      </c>
      <c r="B18" s="20">
        <f>ImpliedVolatilityRank1y($B$4)</f>
        <v/>
      </c>
      <c r="C18" s="7" t="inlineStr">
        <is>
          <t>=ImpliedVolatilityRank1y($B$4)</t>
        </is>
      </c>
    </row>
    <row r="19">
      <c r="A19" s="13" t="inlineStr">
        <is>
          <t>30 day realized volatility</t>
        </is>
      </c>
      <c r="B19" s="20">
        <f>StockVolatilityThirtyDays($B$4)</f>
        <v/>
      </c>
      <c r="C19" s="7" t="inlineStr">
        <is>
          <t>=StockVolatilityThirtyDays($B$4)</t>
        </is>
      </c>
    </row>
    <row r="20">
      <c r="A20" s="13" t="inlineStr">
        <is>
          <t>Put call open interest ratio</t>
        </is>
      </c>
      <c r="B20" s="18">
        <f>opt_PutCallOIRatio($B$4,$B$5)</f>
        <v/>
      </c>
      <c r="C20" s="7" t="inlineStr">
        <is>
          <t>=opt_PutCallOIRatio($B$4,$B$5)</t>
        </is>
      </c>
    </row>
    <row r="21">
      <c r="A21" s="13" t="inlineStr">
        <is>
          <t>Next earnings date</t>
        </is>
      </c>
      <c r="B21" s="21">
        <f>earnings_date($B$4)</f>
        <v/>
      </c>
      <c r="C21" s="7" t="inlineStr">
        <is>
          <t>=earnings_date($B$4)</t>
        </is>
      </c>
    </row>
    <row r="23">
      <c r="A23" s="3" t="inlineStr">
        <is>
          <t>The three legs</t>
        </is>
      </c>
    </row>
    <row r="24" ht="30" customHeight="1">
      <c r="A24" s="5" t="inlineStr">
        <is>
          <t>Leg</t>
        </is>
      </c>
      <c r="B24" s="5" t="inlineStr">
        <is>
          <t>Strike</t>
        </is>
      </c>
      <c r="C24" s="5" t="inlineStr">
        <is>
          <t>Contracts</t>
        </is>
      </c>
      <c r="D24" s="5" t="inlineStr">
        <is>
          <t>Bid</t>
        </is>
      </c>
      <c r="E24" s="5" t="inlineStr">
        <is>
          <t>Ask</t>
        </is>
      </c>
      <c r="F24" s="5" t="inlineStr">
        <is>
          <t>Mid</t>
        </is>
      </c>
      <c r="G24" s="5" t="inlineStr">
        <is>
          <t>Implied volatility</t>
        </is>
      </c>
    </row>
    <row r="25">
      <c r="A25" s="6" t="inlineStr">
        <is>
          <t>Buy lower wing</t>
        </is>
      </c>
      <c r="B25" s="22">
        <f>$B$6-$B$7</f>
        <v/>
      </c>
      <c r="C25" s="23" t="n">
        <v>1</v>
      </c>
      <c r="D25" s="22">
        <f>IF(B25&lt;$B$16,Bid(OptionSymbol($B$4,$B$5,"Put",B25))+EXP(-$B$8*$B$15/365)*($B$16-B25),Bid(OptionSymbol($B$4,$B$5,"Call",B25)))</f>
        <v/>
      </c>
      <c r="E25" s="22">
        <f>IF(B25&lt;$B$16,Ask(OptionSymbol($B$4,$B$5,"Put",B25))+EXP(-$B$8*$B$15/365)*($B$16-B25),Ask(OptionSymbol($B$4,$B$5,"Call",B25)))</f>
        <v/>
      </c>
      <c r="F25" s="18">
        <f>(D25+E25)/2</f>
        <v/>
      </c>
      <c r="G25" s="24">
        <f>opt_ImpliedVolatility($B$14,F25,$B$5,"Call",B25,$B$8,$B$9)</f>
        <v/>
      </c>
    </row>
    <row r="26">
      <c r="A26" s="6" t="inlineStr">
        <is>
          <t>Sell body</t>
        </is>
      </c>
      <c r="B26" s="22">
        <f>$B$6</f>
        <v/>
      </c>
      <c r="C26" s="25" t="n">
        <v>-2</v>
      </c>
      <c r="D26" s="22">
        <f>IF(B26&lt;$B$16,Bid(OptionSymbol($B$4,$B$5,"Put",B26))+EXP(-$B$8*$B$15/365)*($B$16-B26),Bid(OptionSymbol($B$4,$B$5,"Call",B26)))</f>
        <v/>
      </c>
      <c r="E26" s="22">
        <f>IF(B26&lt;$B$16,Ask(OptionSymbol($B$4,$B$5,"Put",B26))+EXP(-$B$8*$B$15/365)*($B$16-B26),Ask(OptionSymbol($B$4,$B$5,"Call",B26)))</f>
        <v/>
      </c>
      <c r="F26" s="18">
        <f>(D26+E26)/2</f>
        <v/>
      </c>
      <c r="G26" s="24">
        <f>opt_ImpliedVolatility($B$14,F26,$B$5,"Call",B26,$B$8,$B$9)</f>
        <v/>
      </c>
    </row>
    <row r="27">
      <c r="A27" s="6" t="inlineStr">
        <is>
          <t>Buy upper wing</t>
        </is>
      </c>
      <c r="B27" s="22">
        <f>$B$6+$B$7</f>
        <v/>
      </c>
      <c r="C27" s="23" t="n">
        <v>1</v>
      </c>
      <c r="D27" s="22">
        <f>IF(B27&lt;$B$16,Bid(OptionSymbol($B$4,$B$5,"Put",B27))+EXP(-$B$8*$B$15/365)*($B$16-B27),Bid(OptionSymbol($B$4,$B$5,"Call",B27)))</f>
        <v/>
      </c>
      <c r="E27" s="22">
        <f>IF(B27&lt;$B$16,Ask(OptionSymbol($B$4,$B$5,"Put",B27))+EXP(-$B$8*$B$15/365)*($B$16-B27),Ask(OptionSymbol($B$4,$B$5,"Call",B27)))</f>
        <v/>
      </c>
      <c r="F27" s="18">
        <f>(D27+E27)/2</f>
        <v/>
      </c>
      <c r="G27" s="24">
        <f>opt_ImpliedVolatility($B$14,F27,$B$5,"Call",B27,$B$8,$B$9)</f>
        <v/>
      </c>
    </row>
    <row r="28" ht="32" customHeight="1">
      <c r="A28" s="10" t="inlineStr">
        <is>
          <t>Each leg is quoted from the out of the money contract at that strike and converted with put call parity. The in the money call book quotes several dollars wide, so its midpoint is not a price you can use.</t>
        </is>
      </c>
    </row>
    <row r="30">
      <c r="A30" s="3" t="inlineStr">
        <is>
          <t>Result</t>
        </is>
      </c>
    </row>
    <row r="31" ht="30" customHeight="1">
      <c r="A31" s="5" t="inlineStr">
        <is>
          <t>Output</t>
        </is>
      </c>
      <c r="B31" s="5" t="inlineStr">
        <is>
          <t>Value</t>
        </is>
      </c>
      <c r="C31" s="5" t="inlineStr">
        <is>
          <t>How it is derived</t>
        </is>
      </c>
    </row>
    <row r="32">
      <c r="A32" s="13" t="inlineStr">
        <is>
          <t>Net debit per contract</t>
        </is>
      </c>
      <c r="B32" s="26">
        <f>(F25-2*F26+F27)*100*$B$10</f>
        <v/>
      </c>
      <c r="C32" s="27" t="inlineStr">
        <is>
          <t>=(F25-2*F26+F27)*100*$B$10</t>
        </is>
      </c>
    </row>
    <row r="33">
      <c r="A33" s="13" t="inlineStr">
        <is>
          <t>Net debit at the natural</t>
        </is>
      </c>
      <c r="B33" s="26">
        <f>(E25-2*D26+E27)*100*$B$10</f>
        <v/>
      </c>
      <c r="C33" s="27" t="inlineStr">
        <is>
          <t>=(E25-2*D26+E27)*100*$B$10</t>
        </is>
      </c>
    </row>
    <row r="34">
      <c r="A34" s="13" t="inlineStr">
        <is>
          <t>Lower breakeven</t>
        </is>
      </c>
      <c r="B34" s="18">
        <f>$B$6-$B$7+B32/100/$B$10</f>
        <v/>
      </c>
      <c r="C34" s="27" t="inlineStr">
        <is>
          <t>=$B$6-$B$7+B32/100/$B$10</t>
        </is>
      </c>
    </row>
    <row r="35">
      <c r="A35" s="13" t="inlineStr">
        <is>
          <t>Upper breakeven</t>
        </is>
      </c>
      <c r="B35" s="18">
        <f>$B$6+$B$7-B32/100/$B$10</f>
        <v/>
      </c>
      <c r="C35" s="27" t="inlineStr">
        <is>
          <t>=$B$6+$B$7-B32/100/$B$10</t>
        </is>
      </c>
    </row>
    <row r="36">
      <c r="A36" s="13" t="inlineStr">
        <is>
          <t>Maximum profit</t>
        </is>
      </c>
      <c r="B36" s="28">
        <f>$B$7*100*$B$10-B32</f>
        <v/>
      </c>
      <c r="C36" s="27" t="inlineStr">
        <is>
          <t>=$B$7*100*$B$10-B32</t>
        </is>
      </c>
    </row>
    <row r="37">
      <c r="A37" s="13" t="inlineStr">
        <is>
          <t>Maximum loss</t>
        </is>
      </c>
      <c r="B37" s="29">
        <f>-B32</f>
        <v/>
      </c>
      <c r="C37" s="27" t="inlineStr">
        <is>
          <t>=-B32</t>
        </is>
      </c>
    </row>
    <row r="38">
      <c r="A38" s="13" t="inlineStr">
        <is>
          <t>Reward to risk</t>
        </is>
      </c>
      <c r="B38" s="30">
        <f>B36/ABS(B37)</f>
        <v/>
      </c>
      <c r="C38" s="27" t="inlineStr">
        <is>
          <t>=B36/ABS(B37)</t>
        </is>
      </c>
    </row>
    <row r="39">
      <c r="A39" s="13" t="inlineStr">
        <is>
          <t>Probability of profit</t>
        </is>
      </c>
      <c r="B39" s="20">
        <f>NORMSDIST(((LN($B$16/(B34))-0.5*$B$17^2*($B$15/365))/($B$17*SQRT(($B$15/365)))))-NORMSDIST(((LN($B$16/(B35))-0.5*$B$17^2*($B$15/365))/($B$17*SQRT(($B$15/365)))))</f>
        <v/>
      </c>
      <c r="C39" s="27" t="inlineStr">
        <is>
          <t>=NORMSDIST(((LN($B$16/(B34))-0.5*$B$17^2*($B$15/365))/($B$17*SQRT(($B$15/365)))))-NORMSDIST(((LN($B$16/(B35))-0.5*$B$17^2*($B$15/365))/($B$17*SQRT(($B$15/365)))))</t>
        </is>
      </c>
    </row>
    <row r="40">
      <c r="A40" s="13" t="inlineStr">
        <is>
          <t>Probability of finishing within $1 of the body</t>
        </is>
      </c>
      <c r="B40" s="20">
        <f>NORMSDIST(((LN($B$16/($B$6-1))-0.5*$B$17^2*($B$15/365))/($B$17*SQRT(($B$15/365)))))-NORMSDIST(((LN($B$16/($B$6+1))-0.5*$B$17^2*($B$15/365))/($B$17*SQRT(($B$15/365)))))</f>
        <v/>
      </c>
      <c r="C40" s="27" t="inlineStr">
        <is>
          <t>=NORMSDIST(((LN($B$16/($B$6-1))-0.5*$B$17^2*($B$15/365))/($B$17*SQRT(($B$15/365)))))-NORMSDIST(((LN($B$16/($B$6+1))-0.5*$B$17^2*($B$15/365))/($B$17*SQRT(($B$15/365)))))</t>
        </is>
      </c>
    </row>
    <row r="42">
      <c r="A42" s="3" t="inlineStr">
        <is>
          <t>Net Greeks for the whole position</t>
        </is>
      </c>
    </row>
    <row r="43" ht="30" customHeight="1">
      <c r="A43" s="5" t="inlineStr">
        <is>
          <t>Greek</t>
        </is>
      </c>
      <c r="B43" s="5" t="inlineStr">
        <is>
          <t>Net value</t>
        </is>
      </c>
      <c r="C43" s="5" t="inlineStr">
        <is>
          <t>Unit</t>
        </is>
      </c>
      <c r="D43" s="5" t="inlineStr">
        <is>
          <t>MarketXLS formula</t>
        </is>
      </c>
    </row>
    <row r="44">
      <c r="A44" s="13" t="inlineStr">
        <is>
          <t>Delta</t>
        </is>
      </c>
      <c r="B44" s="31">
        <f>(opt_Delta($B$14,F25,$B$5,"Call",B25,$B$8,$B$9)-2*opt_Delta($B$14,F26,$B$5,"Call",B26,$B$8,$B$9)+opt_Delta($B$14,F27,$B$5,"Call",B27,$B$8,$B$9))*100*$B$10</f>
        <v/>
      </c>
      <c r="C44" s="7" t="inlineStr">
        <is>
          <t>shares equivalent</t>
        </is>
      </c>
      <c r="D44" s="27" t="inlineStr">
        <is>
          <t>=(opt_Delta($B$14,F25,$B$5,"Call",B25,$B$8,$B$9)-2*opt_Delta($B$14,F26,$B$5,"Call",B26,$B$8,$B$9)+opt_Delta($B$14,F27,$B$5,"Call",B27,$B$8,$B$9))*100*$B$10</t>
        </is>
      </c>
    </row>
    <row r="45">
      <c r="A45" s="13" t="inlineStr">
        <is>
          <t>Gamma</t>
        </is>
      </c>
      <c r="B45" s="31">
        <f>(opt_Gamma($B$14,F25,$B$5,"Call",B25,$B$8,$B$9)-2*opt_Gamma($B$14,F26,$B$5,"Call",B26,$B$8,$B$9)+opt_Gamma($B$14,F27,$B$5,"Call",B27,$B$8,$B$9))*100*$B$10</f>
        <v/>
      </c>
      <c r="C45" s="7" t="inlineStr">
        <is>
          <t>delta per point</t>
        </is>
      </c>
      <c r="D45" s="27" t="inlineStr">
        <is>
          <t>=(opt_Gamma($B$14,F25,$B$5,"Call",B25,$B$8,$B$9)-2*opt_Gamma($B$14,F26,$B$5,"Call",B26,$B$8,$B$9)+opt_Gamma($B$14,F27,$B$5,"Call",B27,$B$8,$B$9))*100*$B$10</t>
        </is>
      </c>
    </row>
    <row r="46">
      <c r="A46" s="13" t="inlineStr">
        <is>
          <t>Vega</t>
        </is>
      </c>
      <c r="B46" s="31">
        <f>(opt_Vega($B$14,F25,$B$5,"Call",B25,$B$8,$B$9)-2*opt_Vega($B$14,F26,$B$5,"Call",B26,$B$8,$B$9)+opt_Vega($B$14,F27,$B$5,"Call",B27,$B$8,$B$9))*100*$B$10</f>
        <v/>
      </c>
      <c r="C46" s="7" t="inlineStr">
        <is>
          <t>dollars per volatility point</t>
        </is>
      </c>
      <c r="D46" s="27" t="inlineStr">
        <is>
          <t>=(opt_Vega($B$14,F25,$B$5,"Call",B25,$B$8,$B$9)-2*opt_Vega($B$14,F26,$B$5,"Call",B26,$B$8,$B$9)+opt_Vega($B$14,F27,$B$5,"Call",B27,$B$8,$B$9))*100*$B$10</t>
        </is>
      </c>
    </row>
    <row r="47">
      <c r="A47" s="13" t="inlineStr">
        <is>
          <t>Theta</t>
        </is>
      </c>
      <c r="B47" s="31">
        <f>(opt_Theta($B$14,F25,$B$5,"Call",B25,$B$8,$B$9)-2*opt_Theta($B$14,F26,$B$5,"Call",B26,$B$8,$B$9)+opt_Theta($B$14,F27,$B$5,"Call",B27,$B$8,$B$9))*100*$B$10</f>
        <v/>
      </c>
      <c r="C47" s="7" t="inlineStr">
        <is>
          <t>dollars per day</t>
        </is>
      </c>
      <c r="D47" s="27" t="inlineStr">
        <is>
          <t>=(opt_Theta($B$14,F25,$B$5,"Call",B25,$B$8,$B$9)-2*opt_Theta($B$14,F26,$B$5,"Call",B26,$B$8,$B$9)+opt_Theta($B$14,F27,$B$5,"Call",B27,$B$8,$B$9))*100*$B$10</t>
        </is>
      </c>
    </row>
    <row r="48" ht="32" customHeight="1">
      <c r="A48" s="10" t="inlineStr">
        <is>
          <t>A long butterfly is short gamma and short vega. It gains value as time passes and loses value when implied volatility rises.</t>
        </is>
      </c>
    </row>
    <row r="50">
      <c r="A50" s="3" t="inlineStr">
        <is>
          <t>MarketXLS Functions Used in This Sheet</t>
        </is>
      </c>
    </row>
    <row r="51">
      <c r="A51" s="9" t="inlineStr">
        <is>
          <t>=OptionSymbol($B$4,$B$5,"Call",$B$6)</t>
        </is>
      </c>
      <c r="B51" s="7" t="inlineStr">
        <is>
          <t>Body contract symbol</t>
        </is>
      </c>
    </row>
    <row r="52">
      <c r="A52" s="9" t="inlineStr">
        <is>
          <t>=Bid(optionSymbol)</t>
        </is>
      </c>
      <c r="B52" s="7" t="inlineStr">
        <is>
          <t>Live bid for a leg</t>
        </is>
      </c>
    </row>
    <row r="53">
      <c r="A53" s="9" t="inlineStr">
        <is>
          <t>=Ask(optionSymbol)</t>
        </is>
      </c>
      <c r="B53" s="7" t="inlineStr">
        <is>
          <t>Live ask for a leg</t>
        </is>
      </c>
    </row>
    <row r="54">
      <c r="A54" s="9" t="inlineStr">
        <is>
          <t>=opt_ImpliedVolatility(spot,price,expiry,"Call",strike,rate,divYield)</t>
        </is>
      </c>
      <c r="B54" s="7" t="inlineStr">
        <is>
          <t>Implied volatility solved from that leg's own price</t>
        </is>
      </c>
    </row>
    <row r="55">
      <c r="A55" s="9" t="inlineStr">
        <is>
          <t>=opt_Delta(spot,price,expiry,"Call",strike,rate,divYield)</t>
        </is>
      </c>
      <c r="B55" s="7" t="inlineStr">
        <is>
          <t>Leg delta, netted 1 / -2 / 1 across the butterfly</t>
        </is>
      </c>
    </row>
    <row r="56">
      <c r="A56" s="9" t="inlineStr">
        <is>
          <t>=opt_Vega(spot,price,expiry,"Call",strike,rate,divYield)</t>
        </is>
      </c>
      <c r="B56" s="7" t="inlineStr">
        <is>
          <t>Leg vega, which nets short for a long butterfly</t>
        </is>
      </c>
    </row>
    <row r="57">
      <c r="A57" s="9" t="inlineStr">
        <is>
          <t>=ImpliedVolatility30d($B$4)</t>
        </is>
      </c>
      <c r="B57" s="7" t="inlineStr">
        <is>
          <t>Reference volatility for the underlying</t>
        </is>
      </c>
    </row>
    <row r="58">
      <c r="A58" s="9" t="inlineStr">
        <is>
          <t>=opt_PutCallOIRatio($B$4,$B$5)</t>
        </is>
      </c>
      <c r="B58" s="7" t="inlineStr">
        <is>
          <t>Positioning check for the expiration</t>
        </is>
      </c>
    </row>
    <row r="59">
      <c r="A59" s="10" t="inlineStr">
        <is>
          <t>These are live MarketXLS formulas and they drive every value on this sheet.</t>
        </is>
      </c>
    </row>
    <row r="61">
      <c r="A61" s="11" t="inlineStr">
        <is>
          <t>Powered by MarketXLS   |   https://marketxls.com   |   Book a demo: https://marketxls.com/book-demo</t>
        </is>
      </c>
    </row>
  </sheetData>
  <mergeCells count="39">
    <mergeCell ref="C34:G34"/>
    <mergeCell ref="C15:G15"/>
    <mergeCell ref="C33:G33"/>
    <mergeCell ref="B57:G57"/>
    <mergeCell ref="C14:G14"/>
    <mergeCell ref="B53:G53"/>
    <mergeCell ref="A28:G28"/>
    <mergeCell ref="C35:G35"/>
    <mergeCell ref="C20:G20"/>
    <mergeCell ref="C16:G16"/>
    <mergeCell ref="D44:G44"/>
    <mergeCell ref="A48:G48"/>
    <mergeCell ref="A30:G30"/>
    <mergeCell ref="A59:G59"/>
    <mergeCell ref="C40:G40"/>
    <mergeCell ref="D46:G46"/>
    <mergeCell ref="B55:G55"/>
    <mergeCell ref="B51:G51"/>
    <mergeCell ref="C21:G21"/>
    <mergeCell ref="A61:G61"/>
    <mergeCell ref="A1:G1"/>
    <mergeCell ref="D45:G45"/>
    <mergeCell ref="C36:G36"/>
    <mergeCell ref="C39:G39"/>
    <mergeCell ref="C17:G17"/>
    <mergeCell ref="B54:G54"/>
    <mergeCell ref="C32:G32"/>
    <mergeCell ref="C38:G38"/>
    <mergeCell ref="D47:G47"/>
    <mergeCell ref="A12:G12"/>
    <mergeCell ref="A50:G50"/>
    <mergeCell ref="C19:G19"/>
    <mergeCell ref="C37:G37"/>
    <mergeCell ref="B56:G56"/>
    <mergeCell ref="B58:G58"/>
    <mergeCell ref="B52:G52"/>
    <mergeCell ref="C18:G18"/>
    <mergeCell ref="A42:G42"/>
    <mergeCell ref="A23:G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5"/>
  <sheetViews>
    <sheetView workbookViewId="0">
      <pane ySplit="4" topLeftCell="A5" activePane="bottomLeft" state="frozen"/>
      <selection pane="bottomLeft" activeCell="A1" sqref="A1"/>
    </sheetView>
  </sheetViews>
  <sheetFormatPr baseColWidth="8" defaultRowHeight="15"/>
  <cols>
    <col width="22" customWidth="1" min="1" max="1"/>
    <col width="14" customWidth="1" min="2" max="2"/>
    <col width="18" customWidth="1" min="3" max="3"/>
    <col width="18" customWidth="1" min="4" max="4"/>
    <col width="18" customWidth="1" min="5" max="5"/>
    <col width="18" customWidth="1" min="6" max="6"/>
    <col width="18" customWidth="1" min="7" max="7"/>
    <col width="22" customWidth="1" min="8" max="8"/>
  </cols>
  <sheetData>
    <row r="1" ht="26" customHeight="1">
      <c r="A1" s="1" t="inlineStr">
        <is>
          <t>Scenario Analysis - what the butterfly pays</t>
        </is>
      </c>
    </row>
    <row r="3">
      <c r="A3" s="3" t="inlineStr">
        <is>
          <t>Profit and loss at expiration</t>
        </is>
      </c>
    </row>
    <row r="4" ht="30" customHeight="1">
      <c r="A4" s="5" t="inlineStr">
        <is>
          <t>Underlying at expiry</t>
        </is>
      </c>
      <c r="B4" s="5" t="inlineStr">
        <is>
          <t>Move</t>
        </is>
      </c>
      <c r="C4" s="5" t="inlineStr">
        <is>
          <t>Payoff value</t>
        </is>
      </c>
      <c r="D4" s="5" t="inlineStr">
        <is>
          <t>Profit or loss</t>
        </is>
      </c>
      <c r="E4" s="5" t="inlineStr">
        <is>
          <t>Outcome</t>
        </is>
      </c>
    </row>
    <row r="5">
      <c r="A5" s="18" t="n">
        <v>0</v>
      </c>
      <c r="B5" s="32">
        <f>(A5-'Main Dashboard'!$B$14)/'Main Dashboard'!$B$14</f>
        <v/>
      </c>
      <c r="C5" s="33">
        <f>(MAX(A5-'Main Dashboard'!B25,0)-2*MAX(A5-'Main Dashboard'!B26,0)+MAX(A5-'Main Dashboard'!B27,0))*100*'Main Dashboard'!$B$10</f>
        <v/>
      </c>
      <c r="D5" s="26">
        <f>C5-'Main Dashboard'!B32</f>
        <v/>
      </c>
      <c r="E5" s="34" t="inlineStr">
        <is>
          <t>Maximum loss</t>
        </is>
      </c>
    </row>
    <row r="6">
      <c r="A6" s="18" t="n">
        <v>758</v>
      </c>
      <c r="B6" s="32">
        <f>(A6-'Main Dashboard'!$B$14)/'Main Dashboard'!$B$14</f>
        <v/>
      </c>
      <c r="C6" s="33">
        <f>(MAX(A6-'Main Dashboard'!B25,0)-2*MAX(A6-'Main Dashboard'!B26,0)+MAX(A6-'Main Dashboard'!B27,0))*100*'Main Dashboard'!$B$10</f>
        <v/>
      </c>
      <c r="D6" s="26">
        <f>C6-'Main Dashboard'!B32</f>
        <v/>
      </c>
      <c r="E6" s="34" t="inlineStr">
        <is>
          <t>Maximum loss</t>
        </is>
      </c>
    </row>
    <row r="7">
      <c r="A7" s="18" t="n">
        <v>768</v>
      </c>
      <c r="B7" s="32">
        <f>(A7-'Main Dashboard'!$B$14)/'Main Dashboard'!$B$14</f>
        <v/>
      </c>
      <c r="C7" s="33">
        <f>(MAX(A7-'Main Dashboard'!B25,0)-2*MAX(A7-'Main Dashboard'!B26,0)+MAX(A7-'Main Dashboard'!B27,0))*100*'Main Dashboard'!$B$10</f>
        <v/>
      </c>
      <c r="D7" s="26">
        <f>C7-'Main Dashboard'!B32</f>
        <v/>
      </c>
      <c r="E7" s="34" t="inlineStr">
        <is>
          <t>Maximum loss</t>
        </is>
      </c>
    </row>
    <row r="8">
      <c r="A8" s="18" t="n">
        <v>769.4109</v>
      </c>
      <c r="B8" s="32">
        <f>(A8-'Main Dashboard'!$B$14)/'Main Dashboard'!$B$14</f>
        <v/>
      </c>
      <c r="C8" s="33">
        <f>(MAX(A8-'Main Dashboard'!B25,0)-2*MAX(A8-'Main Dashboard'!B26,0)+MAX(A8-'Main Dashboard'!B27,0))*100*'Main Dashboard'!$B$10</f>
        <v/>
      </c>
      <c r="D8" s="26">
        <f>C8-'Main Dashboard'!B32</f>
        <v/>
      </c>
      <c r="E8" s="35" t="inlineStr">
        <is>
          <t>Breakeven</t>
        </is>
      </c>
    </row>
    <row r="9">
      <c r="A9" s="18" t="n">
        <v>773</v>
      </c>
      <c r="B9" s="32">
        <f>(A9-'Main Dashboard'!$B$14)/'Main Dashboard'!$B$14</f>
        <v/>
      </c>
      <c r="C9" s="33">
        <f>(MAX(A9-'Main Dashboard'!B25,0)-2*MAX(A9-'Main Dashboard'!B26,0)+MAX(A9-'Main Dashboard'!B27,0))*100*'Main Dashboard'!$B$10</f>
        <v/>
      </c>
      <c r="D9" s="26">
        <f>C9-'Main Dashboard'!B32</f>
        <v/>
      </c>
      <c r="E9" s="35" t="inlineStr">
        <is>
          <t>Profit</t>
        </is>
      </c>
    </row>
    <row r="10">
      <c r="A10" s="18" t="n">
        <v>778</v>
      </c>
      <c r="B10" s="32">
        <f>(A10-'Main Dashboard'!$B$14)/'Main Dashboard'!$B$14</f>
        <v/>
      </c>
      <c r="C10" s="33">
        <f>(MAX(A10-'Main Dashboard'!B25,0)-2*MAX(A10-'Main Dashboard'!B26,0)+MAX(A10-'Main Dashboard'!B27,0))*100*'Main Dashboard'!$B$10</f>
        <v/>
      </c>
      <c r="D10" s="26">
        <f>C10-'Main Dashboard'!B32</f>
        <v/>
      </c>
      <c r="E10" s="36" t="inlineStr">
        <is>
          <t>Maximum profit</t>
        </is>
      </c>
    </row>
    <row r="11">
      <c r="A11" s="18" t="n">
        <v>783</v>
      </c>
      <c r="B11" s="32">
        <f>(A11-'Main Dashboard'!$B$14)/'Main Dashboard'!$B$14</f>
        <v/>
      </c>
      <c r="C11" s="33">
        <f>(MAX(A11-'Main Dashboard'!B25,0)-2*MAX(A11-'Main Dashboard'!B26,0)+MAX(A11-'Main Dashboard'!B27,0))*100*'Main Dashboard'!$B$10</f>
        <v/>
      </c>
      <c r="D11" s="26">
        <f>C11-'Main Dashboard'!B32</f>
        <v/>
      </c>
      <c r="E11" s="35" t="inlineStr">
        <is>
          <t>Profit</t>
        </is>
      </c>
    </row>
    <row r="12">
      <c r="A12" s="18" t="n">
        <v>786.5891</v>
      </c>
      <c r="B12" s="32">
        <f>(A12-'Main Dashboard'!$B$14)/'Main Dashboard'!$B$14</f>
        <v/>
      </c>
      <c r="C12" s="33">
        <f>(MAX(A12-'Main Dashboard'!B25,0)-2*MAX(A12-'Main Dashboard'!B26,0)+MAX(A12-'Main Dashboard'!B27,0))*100*'Main Dashboard'!$B$10</f>
        <v/>
      </c>
      <c r="D12" s="26">
        <f>C12-'Main Dashboard'!B32</f>
        <v/>
      </c>
      <c r="E12" s="35" t="inlineStr">
        <is>
          <t>Breakeven</t>
        </is>
      </c>
    </row>
    <row r="13">
      <c r="A13" s="18" t="n">
        <v>788</v>
      </c>
      <c r="B13" s="32">
        <f>(A13-'Main Dashboard'!$B$14)/'Main Dashboard'!$B$14</f>
        <v/>
      </c>
      <c r="C13" s="33">
        <f>(MAX(A13-'Main Dashboard'!B25,0)-2*MAX(A13-'Main Dashboard'!B26,0)+MAX(A13-'Main Dashboard'!B27,0))*100*'Main Dashboard'!$B$10</f>
        <v/>
      </c>
      <c r="D13" s="26">
        <f>C13-'Main Dashboard'!B32</f>
        <v/>
      </c>
      <c r="E13" s="34" t="inlineStr">
        <is>
          <t>Maximum loss</t>
        </is>
      </c>
    </row>
    <row r="14">
      <c r="A14" s="18" t="n">
        <v>798</v>
      </c>
      <c r="B14" s="32">
        <f>(A14-'Main Dashboard'!$B$14)/'Main Dashboard'!$B$14</f>
        <v/>
      </c>
      <c r="C14" s="33">
        <f>(MAX(A14-'Main Dashboard'!B25,0)-2*MAX(A14-'Main Dashboard'!B26,0)+MAX(A14-'Main Dashboard'!B27,0))*100*'Main Dashboard'!$B$10</f>
        <v/>
      </c>
      <c r="D14" s="26">
        <f>C14-'Main Dashboard'!B32</f>
        <v/>
      </c>
      <c r="E14" s="34" t="inlineStr">
        <is>
          <t>Maximum loss</t>
        </is>
      </c>
    </row>
    <row r="15" ht="32" customHeight="1">
      <c r="A15" s="10" t="inlineStr">
        <is>
          <t>The loss is capped at the debit on both sides, and the underlying cannot fall below zero, so this position has no unbounded outcome in either direction.</t>
        </is>
      </c>
    </row>
    <row r="17">
      <c r="A17" s="3" t="inlineStr">
        <is>
          <t>Value before expiration, with the underlying pinned at the body strike</t>
        </is>
      </c>
    </row>
    <row r="18" ht="30" customHeight="1">
      <c r="A18" s="5" t="inlineStr">
        <is>
          <t>Days remaining</t>
        </is>
      </c>
      <c r="B18" s="5" t="inlineStr">
        <is>
          <t>Years remaining</t>
        </is>
      </c>
      <c r="C18" s="5" t="inlineStr">
        <is>
          <t>Lower wing value</t>
        </is>
      </c>
      <c r="D18" s="5" t="inlineStr">
        <is>
          <t>Body value</t>
        </is>
      </c>
      <c r="E18" s="5" t="inlineStr">
        <is>
          <t>Upper wing value</t>
        </is>
      </c>
      <c r="F18" s="5" t="inlineStr">
        <is>
          <t>Butterfly value</t>
        </is>
      </c>
      <c r="G18" s="5" t="inlineStr">
        <is>
          <t>Profit or loss</t>
        </is>
      </c>
      <c r="H18" s="5" t="inlineStr">
        <is>
          <t>Share of the maximum</t>
        </is>
      </c>
    </row>
    <row r="19">
      <c r="A19" s="19" t="n">
        <v>34</v>
      </c>
      <c r="B19" s="37">
        <f>A19/365</f>
        <v/>
      </c>
      <c r="C19" s="37">
        <f>IF(B19&lt;=0,MAX(('Main Dashboard'!$B$6*EXP(('Main Dashboard'!$B$8-'Main Dashboard'!$B$9)*B19))-'Main Dashboard'!B25,0),(EXP(-'Main Dashboard'!$B$8*B19)*(('Main Dashboard'!$B$6*EXP(('Main Dashboard'!$B$8-'Main Dashboard'!$B$9)*B19))*NORMSDIST(((LN(('Main Dashboard'!$B$6*EXP(('Main Dashboard'!$B$8-'Main Dashboard'!$B$9)*B19))/'Main Dashboard'!B25)+0.5*'Main Dashboard'!G25^2*B19)/('Main Dashboard'!G25*SQRT(B19))))-'Main Dashboard'!B25*NORMSDIST((((LN(('Main Dashboard'!$B$6*EXP(('Main Dashboard'!$B$8-'Main Dashboard'!$B$9)*B19))/'Main Dashboard'!B25)+0.5*'Main Dashboard'!G25^2*B19)/('Main Dashboard'!G25*SQRT(B19)))-('Main Dashboard'!G25*SQRT(B19)))))))</f>
        <v/>
      </c>
      <c r="D19" s="37">
        <f>IF(B19&lt;=0,MAX(('Main Dashboard'!$B$6*EXP(('Main Dashboard'!$B$8-'Main Dashboard'!$B$9)*B19))-'Main Dashboard'!B26,0),(EXP(-'Main Dashboard'!$B$8*B19)*(('Main Dashboard'!$B$6*EXP(('Main Dashboard'!$B$8-'Main Dashboard'!$B$9)*B19))*NORMSDIST(((LN(('Main Dashboard'!$B$6*EXP(('Main Dashboard'!$B$8-'Main Dashboard'!$B$9)*B19))/'Main Dashboard'!B26)+0.5*'Main Dashboard'!G26^2*B19)/('Main Dashboard'!G26*SQRT(B19))))-'Main Dashboard'!B26*NORMSDIST((((LN(('Main Dashboard'!$B$6*EXP(('Main Dashboard'!$B$8-'Main Dashboard'!$B$9)*B19))/'Main Dashboard'!B26)+0.5*'Main Dashboard'!G26^2*B19)/('Main Dashboard'!G26*SQRT(B19)))-('Main Dashboard'!G26*SQRT(B19)))))))</f>
        <v/>
      </c>
      <c r="E19" s="37">
        <f>IF(B19&lt;=0,MAX(('Main Dashboard'!$B$6*EXP(('Main Dashboard'!$B$8-'Main Dashboard'!$B$9)*B19))-'Main Dashboard'!B27,0),(EXP(-'Main Dashboard'!$B$8*B19)*(('Main Dashboard'!$B$6*EXP(('Main Dashboard'!$B$8-'Main Dashboard'!$B$9)*B19))*NORMSDIST(((LN(('Main Dashboard'!$B$6*EXP(('Main Dashboard'!$B$8-'Main Dashboard'!$B$9)*B19))/'Main Dashboard'!B27)+0.5*'Main Dashboard'!G27^2*B19)/('Main Dashboard'!G27*SQRT(B19))))-'Main Dashboard'!B27*NORMSDIST((((LN(('Main Dashboard'!$B$6*EXP(('Main Dashboard'!$B$8-'Main Dashboard'!$B$9)*B19))/'Main Dashboard'!B27)+0.5*'Main Dashboard'!G27^2*B19)/('Main Dashboard'!G27*SQRT(B19)))-('Main Dashboard'!G27*SQRT(B19)))))))</f>
        <v/>
      </c>
      <c r="F19" s="26">
        <f>(C19-2*D19+E19)*100*'Main Dashboard'!$B$10</f>
        <v/>
      </c>
      <c r="G19" s="26">
        <f>F19-'Main Dashboard'!B32</f>
        <v/>
      </c>
      <c r="H19" s="38">
        <f>G19/'Main Dashboard'!B36</f>
        <v/>
      </c>
    </row>
    <row r="20">
      <c r="A20" s="19" t="n">
        <v>21</v>
      </c>
      <c r="B20" s="37">
        <f>A20/365</f>
        <v/>
      </c>
      <c r="C20" s="37">
        <f>IF(B20&lt;=0,MAX(('Main Dashboard'!$B$6*EXP(('Main Dashboard'!$B$8-'Main Dashboard'!$B$9)*B20))-'Main Dashboard'!B25,0),(EXP(-'Main Dashboard'!$B$8*B20)*(('Main Dashboard'!$B$6*EXP(('Main Dashboard'!$B$8-'Main Dashboard'!$B$9)*B20))*NORMSDIST(((LN(('Main Dashboard'!$B$6*EXP(('Main Dashboard'!$B$8-'Main Dashboard'!$B$9)*B20))/'Main Dashboard'!B25)+0.5*'Main Dashboard'!G25^2*B20)/('Main Dashboard'!G25*SQRT(B20))))-'Main Dashboard'!B25*NORMSDIST((((LN(('Main Dashboard'!$B$6*EXP(('Main Dashboard'!$B$8-'Main Dashboard'!$B$9)*B20))/'Main Dashboard'!B25)+0.5*'Main Dashboard'!G25^2*B20)/('Main Dashboard'!G25*SQRT(B20)))-('Main Dashboard'!G25*SQRT(B20)))))))</f>
        <v/>
      </c>
      <c r="D20" s="37">
        <f>IF(B20&lt;=0,MAX(('Main Dashboard'!$B$6*EXP(('Main Dashboard'!$B$8-'Main Dashboard'!$B$9)*B20))-'Main Dashboard'!B26,0),(EXP(-'Main Dashboard'!$B$8*B20)*(('Main Dashboard'!$B$6*EXP(('Main Dashboard'!$B$8-'Main Dashboard'!$B$9)*B20))*NORMSDIST(((LN(('Main Dashboard'!$B$6*EXP(('Main Dashboard'!$B$8-'Main Dashboard'!$B$9)*B20))/'Main Dashboard'!B26)+0.5*'Main Dashboard'!G26^2*B20)/('Main Dashboard'!G26*SQRT(B20))))-'Main Dashboard'!B26*NORMSDIST((((LN(('Main Dashboard'!$B$6*EXP(('Main Dashboard'!$B$8-'Main Dashboard'!$B$9)*B20))/'Main Dashboard'!B26)+0.5*'Main Dashboard'!G26^2*B20)/('Main Dashboard'!G26*SQRT(B20)))-('Main Dashboard'!G26*SQRT(B20)))))))</f>
        <v/>
      </c>
      <c r="E20" s="37">
        <f>IF(B20&lt;=0,MAX(('Main Dashboard'!$B$6*EXP(('Main Dashboard'!$B$8-'Main Dashboard'!$B$9)*B20))-'Main Dashboard'!B27,0),(EXP(-'Main Dashboard'!$B$8*B20)*(('Main Dashboard'!$B$6*EXP(('Main Dashboard'!$B$8-'Main Dashboard'!$B$9)*B20))*NORMSDIST(((LN(('Main Dashboard'!$B$6*EXP(('Main Dashboard'!$B$8-'Main Dashboard'!$B$9)*B20))/'Main Dashboard'!B27)+0.5*'Main Dashboard'!G27^2*B20)/('Main Dashboard'!G27*SQRT(B20))))-'Main Dashboard'!B27*NORMSDIST((((LN(('Main Dashboard'!$B$6*EXP(('Main Dashboard'!$B$8-'Main Dashboard'!$B$9)*B20))/'Main Dashboard'!B27)+0.5*'Main Dashboard'!G27^2*B20)/('Main Dashboard'!G27*SQRT(B20)))-('Main Dashboard'!G27*SQRT(B20)))))))</f>
        <v/>
      </c>
      <c r="F20" s="26">
        <f>(C20-2*D20+E20)*100*'Main Dashboard'!$B$10</f>
        <v/>
      </c>
      <c r="G20" s="26">
        <f>F20-'Main Dashboard'!B32</f>
        <v/>
      </c>
      <c r="H20" s="38">
        <f>G20/'Main Dashboard'!B36</f>
        <v/>
      </c>
    </row>
    <row r="21">
      <c r="A21" s="19" t="n">
        <v>14</v>
      </c>
      <c r="B21" s="37">
        <f>A21/365</f>
        <v/>
      </c>
      <c r="C21" s="37">
        <f>IF(B21&lt;=0,MAX(('Main Dashboard'!$B$6*EXP(('Main Dashboard'!$B$8-'Main Dashboard'!$B$9)*B21))-'Main Dashboard'!B25,0),(EXP(-'Main Dashboard'!$B$8*B21)*(('Main Dashboard'!$B$6*EXP(('Main Dashboard'!$B$8-'Main Dashboard'!$B$9)*B21))*NORMSDIST(((LN(('Main Dashboard'!$B$6*EXP(('Main Dashboard'!$B$8-'Main Dashboard'!$B$9)*B21))/'Main Dashboard'!B25)+0.5*'Main Dashboard'!G25^2*B21)/('Main Dashboard'!G25*SQRT(B21))))-'Main Dashboard'!B25*NORMSDIST((((LN(('Main Dashboard'!$B$6*EXP(('Main Dashboard'!$B$8-'Main Dashboard'!$B$9)*B21))/'Main Dashboard'!B25)+0.5*'Main Dashboard'!G25^2*B21)/('Main Dashboard'!G25*SQRT(B21)))-('Main Dashboard'!G25*SQRT(B21)))))))</f>
        <v/>
      </c>
      <c r="D21" s="37">
        <f>IF(B21&lt;=0,MAX(('Main Dashboard'!$B$6*EXP(('Main Dashboard'!$B$8-'Main Dashboard'!$B$9)*B21))-'Main Dashboard'!B26,0),(EXP(-'Main Dashboard'!$B$8*B21)*(('Main Dashboard'!$B$6*EXP(('Main Dashboard'!$B$8-'Main Dashboard'!$B$9)*B21))*NORMSDIST(((LN(('Main Dashboard'!$B$6*EXP(('Main Dashboard'!$B$8-'Main Dashboard'!$B$9)*B21))/'Main Dashboard'!B26)+0.5*'Main Dashboard'!G26^2*B21)/('Main Dashboard'!G26*SQRT(B21))))-'Main Dashboard'!B26*NORMSDIST((((LN(('Main Dashboard'!$B$6*EXP(('Main Dashboard'!$B$8-'Main Dashboard'!$B$9)*B21))/'Main Dashboard'!B26)+0.5*'Main Dashboard'!G26^2*B21)/('Main Dashboard'!G26*SQRT(B21)))-('Main Dashboard'!G26*SQRT(B21)))))))</f>
        <v/>
      </c>
      <c r="E21" s="37">
        <f>IF(B21&lt;=0,MAX(('Main Dashboard'!$B$6*EXP(('Main Dashboard'!$B$8-'Main Dashboard'!$B$9)*B21))-'Main Dashboard'!B27,0),(EXP(-'Main Dashboard'!$B$8*B21)*(('Main Dashboard'!$B$6*EXP(('Main Dashboard'!$B$8-'Main Dashboard'!$B$9)*B21))*NORMSDIST(((LN(('Main Dashboard'!$B$6*EXP(('Main Dashboard'!$B$8-'Main Dashboard'!$B$9)*B21))/'Main Dashboard'!B27)+0.5*'Main Dashboard'!G27^2*B21)/('Main Dashboard'!G27*SQRT(B21))))-'Main Dashboard'!B27*NORMSDIST((((LN(('Main Dashboard'!$B$6*EXP(('Main Dashboard'!$B$8-'Main Dashboard'!$B$9)*B21))/'Main Dashboard'!B27)+0.5*'Main Dashboard'!G27^2*B21)/('Main Dashboard'!G27*SQRT(B21)))-('Main Dashboard'!G27*SQRT(B21)))))))</f>
        <v/>
      </c>
      <c r="F21" s="26">
        <f>(C21-2*D21+E21)*100*'Main Dashboard'!$B$10</f>
        <v/>
      </c>
      <c r="G21" s="26">
        <f>F21-'Main Dashboard'!B32</f>
        <v/>
      </c>
      <c r="H21" s="38">
        <f>G21/'Main Dashboard'!B36</f>
        <v/>
      </c>
    </row>
    <row r="22">
      <c r="A22" s="19" t="n">
        <v>7</v>
      </c>
      <c r="B22" s="37">
        <f>A22/365</f>
        <v/>
      </c>
      <c r="C22" s="37">
        <f>IF(B22&lt;=0,MAX(('Main Dashboard'!$B$6*EXP(('Main Dashboard'!$B$8-'Main Dashboard'!$B$9)*B22))-'Main Dashboard'!B25,0),(EXP(-'Main Dashboard'!$B$8*B22)*(('Main Dashboard'!$B$6*EXP(('Main Dashboard'!$B$8-'Main Dashboard'!$B$9)*B22))*NORMSDIST(((LN(('Main Dashboard'!$B$6*EXP(('Main Dashboard'!$B$8-'Main Dashboard'!$B$9)*B22))/'Main Dashboard'!B25)+0.5*'Main Dashboard'!G25^2*B22)/('Main Dashboard'!G25*SQRT(B22))))-'Main Dashboard'!B25*NORMSDIST((((LN(('Main Dashboard'!$B$6*EXP(('Main Dashboard'!$B$8-'Main Dashboard'!$B$9)*B22))/'Main Dashboard'!B25)+0.5*'Main Dashboard'!G25^2*B22)/('Main Dashboard'!G25*SQRT(B22)))-('Main Dashboard'!G25*SQRT(B22)))))))</f>
        <v/>
      </c>
      <c r="D22" s="37">
        <f>IF(B22&lt;=0,MAX(('Main Dashboard'!$B$6*EXP(('Main Dashboard'!$B$8-'Main Dashboard'!$B$9)*B22))-'Main Dashboard'!B26,0),(EXP(-'Main Dashboard'!$B$8*B22)*(('Main Dashboard'!$B$6*EXP(('Main Dashboard'!$B$8-'Main Dashboard'!$B$9)*B22))*NORMSDIST(((LN(('Main Dashboard'!$B$6*EXP(('Main Dashboard'!$B$8-'Main Dashboard'!$B$9)*B22))/'Main Dashboard'!B26)+0.5*'Main Dashboard'!G26^2*B22)/('Main Dashboard'!G26*SQRT(B22))))-'Main Dashboard'!B26*NORMSDIST((((LN(('Main Dashboard'!$B$6*EXP(('Main Dashboard'!$B$8-'Main Dashboard'!$B$9)*B22))/'Main Dashboard'!B26)+0.5*'Main Dashboard'!G26^2*B22)/('Main Dashboard'!G26*SQRT(B22)))-('Main Dashboard'!G26*SQRT(B22)))))))</f>
        <v/>
      </c>
      <c r="E22" s="37">
        <f>IF(B22&lt;=0,MAX(('Main Dashboard'!$B$6*EXP(('Main Dashboard'!$B$8-'Main Dashboard'!$B$9)*B22))-'Main Dashboard'!B27,0),(EXP(-'Main Dashboard'!$B$8*B22)*(('Main Dashboard'!$B$6*EXP(('Main Dashboard'!$B$8-'Main Dashboard'!$B$9)*B22))*NORMSDIST(((LN(('Main Dashboard'!$B$6*EXP(('Main Dashboard'!$B$8-'Main Dashboard'!$B$9)*B22))/'Main Dashboard'!B27)+0.5*'Main Dashboard'!G27^2*B22)/('Main Dashboard'!G27*SQRT(B22))))-'Main Dashboard'!B27*NORMSDIST((((LN(('Main Dashboard'!$B$6*EXP(('Main Dashboard'!$B$8-'Main Dashboard'!$B$9)*B22))/'Main Dashboard'!B27)+0.5*'Main Dashboard'!G27^2*B22)/('Main Dashboard'!G27*SQRT(B22)))-('Main Dashboard'!G27*SQRT(B22)))))))</f>
        <v/>
      </c>
      <c r="F22" s="26">
        <f>(C22-2*D22+E22)*100*'Main Dashboard'!$B$10</f>
        <v/>
      </c>
      <c r="G22" s="26">
        <f>F22-'Main Dashboard'!B32</f>
        <v/>
      </c>
      <c r="H22" s="38">
        <f>G22/'Main Dashboard'!B36</f>
        <v/>
      </c>
    </row>
    <row r="23">
      <c r="A23" s="19" t="n">
        <v>3</v>
      </c>
      <c r="B23" s="37">
        <f>A23/365</f>
        <v/>
      </c>
      <c r="C23" s="37">
        <f>IF(B23&lt;=0,MAX(('Main Dashboard'!$B$6*EXP(('Main Dashboard'!$B$8-'Main Dashboard'!$B$9)*B23))-'Main Dashboard'!B25,0),(EXP(-'Main Dashboard'!$B$8*B23)*(('Main Dashboard'!$B$6*EXP(('Main Dashboard'!$B$8-'Main Dashboard'!$B$9)*B23))*NORMSDIST(((LN(('Main Dashboard'!$B$6*EXP(('Main Dashboard'!$B$8-'Main Dashboard'!$B$9)*B23))/'Main Dashboard'!B25)+0.5*'Main Dashboard'!G25^2*B23)/('Main Dashboard'!G25*SQRT(B23))))-'Main Dashboard'!B25*NORMSDIST((((LN(('Main Dashboard'!$B$6*EXP(('Main Dashboard'!$B$8-'Main Dashboard'!$B$9)*B23))/'Main Dashboard'!B25)+0.5*'Main Dashboard'!G25^2*B23)/('Main Dashboard'!G25*SQRT(B23)))-('Main Dashboard'!G25*SQRT(B23)))))))</f>
        <v/>
      </c>
      <c r="D23" s="37">
        <f>IF(B23&lt;=0,MAX(('Main Dashboard'!$B$6*EXP(('Main Dashboard'!$B$8-'Main Dashboard'!$B$9)*B23))-'Main Dashboard'!B26,0),(EXP(-'Main Dashboard'!$B$8*B23)*(('Main Dashboard'!$B$6*EXP(('Main Dashboard'!$B$8-'Main Dashboard'!$B$9)*B23))*NORMSDIST(((LN(('Main Dashboard'!$B$6*EXP(('Main Dashboard'!$B$8-'Main Dashboard'!$B$9)*B23))/'Main Dashboard'!B26)+0.5*'Main Dashboard'!G26^2*B23)/('Main Dashboard'!G26*SQRT(B23))))-'Main Dashboard'!B26*NORMSDIST((((LN(('Main Dashboard'!$B$6*EXP(('Main Dashboard'!$B$8-'Main Dashboard'!$B$9)*B23))/'Main Dashboard'!B26)+0.5*'Main Dashboard'!G26^2*B23)/('Main Dashboard'!G26*SQRT(B23)))-('Main Dashboard'!G26*SQRT(B23)))))))</f>
        <v/>
      </c>
      <c r="E23" s="37">
        <f>IF(B23&lt;=0,MAX(('Main Dashboard'!$B$6*EXP(('Main Dashboard'!$B$8-'Main Dashboard'!$B$9)*B23))-'Main Dashboard'!B27,0),(EXP(-'Main Dashboard'!$B$8*B23)*(('Main Dashboard'!$B$6*EXP(('Main Dashboard'!$B$8-'Main Dashboard'!$B$9)*B23))*NORMSDIST(((LN(('Main Dashboard'!$B$6*EXP(('Main Dashboard'!$B$8-'Main Dashboard'!$B$9)*B23))/'Main Dashboard'!B27)+0.5*'Main Dashboard'!G27^2*B23)/('Main Dashboard'!G27*SQRT(B23))))-'Main Dashboard'!B27*NORMSDIST((((LN(('Main Dashboard'!$B$6*EXP(('Main Dashboard'!$B$8-'Main Dashboard'!$B$9)*B23))/'Main Dashboard'!B27)+0.5*'Main Dashboard'!G27^2*B23)/('Main Dashboard'!G27*SQRT(B23)))-('Main Dashboard'!G27*SQRT(B23)))))))</f>
        <v/>
      </c>
      <c r="F23" s="26">
        <f>(C23-2*D23+E23)*100*'Main Dashboard'!$B$10</f>
        <v/>
      </c>
      <c r="G23" s="26">
        <f>F23-'Main Dashboard'!B32</f>
        <v/>
      </c>
      <c r="H23" s="38">
        <f>G23/'Main Dashboard'!B36</f>
        <v/>
      </c>
    </row>
    <row r="24">
      <c r="A24" s="19" t="n">
        <v>1</v>
      </c>
      <c r="B24" s="37">
        <f>A24/365</f>
        <v/>
      </c>
      <c r="C24" s="37">
        <f>IF(B24&lt;=0,MAX(('Main Dashboard'!$B$6*EXP(('Main Dashboard'!$B$8-'Main Dashboard'!$B$9)*B24))-'Main Dashboard'!B25,0),(EXP(-'Main Dashboard'!$B$8*B24)*(('Main Dashboard'!$B$6*EXP(('Main Dashboard'!$B$8-'Main Dashboard'!$B$9)*B24))*NORMSDIST(((LN(('Main Dashboard'!$B$6*EXP(('Main Dashboard'!$B$8-'Main Dashboard'!$B$9)*B24))/'Main Dashboard'!B25)+0.5*'Main Dashboard'!G25^2*B24)/('Main Dashboard'!G25*SQRT(B24))))-'Main Dashboard'!B25*NORMSDIST((((LN(('Main Dashboard'!$B$6*EXP(('Main Dashboard'!$B$8-'Main Dashboard'!$B$9)*B24))/'Main Dashboard'!B25)+0.5*'Main Dashboard'!G25^2*B24)/('Main Dashboard'!G25*SQRT(B24)))-('Main Dashboard'!G25*SQRT(B24)))))))</f>
        <v/>
      </c>
      <c r="D24" s="37">
        <f>IF(B24&lt;=0,MAX(('Main Dashboard'!$B$6*EXP(('Main Dashboard'!$B$8-'Main Dashboard'!$B$9)*B24))-'Main Dashboard'!B26,0),(EXP(-'Main Dashboard'!$B$8*B24)*(('Main Dashboard'!$B$6*EXP(('Main Dashboard'!$B$8-'Main Dashboard'!$B$9)*B24))*NORMSDIST(((LN(('Main Dashboard'!$B$6*EXP(('Main Dashboard'!$B$8-'Main Dashboard'!$B$9)*B24))/'Main Dashboard'!B26)+0.5*'Main Dashboard'!G26^2*B24)/('Main Dashboard'!G26*SQRT(B24))))-'Main Dashboard'!B26*NORMSDIST((((LN(('Main Dashboard'!$B$6*EXP(('Main Dashboard'!$B$8-'Main Dashboard'!$B$9)*B24))/'Main Dashboard'!B26)+0.5*'Main Dashboard'!G26^2*B24)/('Main Dashboard'!G26*SQRT(B24)))-('Main Dashboard'!G26*SQRT(B24)))))))</f>
        <v/>
      </c>
      <c r="E24" s="37">
        <f>IF(B24&lt;=0,MAX(('Main Dashboard'!$B$6*EXP(('Main Dashboard'!$B$8-'Main Dashboard'!$B$9)*B24))-'Main Dashboard'!B27,0),(EXP(-'Main Dashboard'!$B$8*B24)*(('Main Dashboard'!$B$6*EXP(('Main Dashboard'!$B$8-'Main Dashboard'!$B$9)*B24))*NORMSDIST(((LN(('Main Dashboard'!$B$6*EXP(('Main Dashboard'!$B$8-'Main Dashboard'!$B$9)*B24))/'Main Dashboard'!B27)+0.5*'Main Dashboard'!G27^2*B24)/('Main Dashboard'!G27*SQRT(B24))))-'Main Dashboard'!B27*NORMSDIST((((LN(('Main Dashboard'!$B$6*EXP(('Main Dashboard'!$B$8-'Main Dashboard'!$B$9)*B24))/'Main Dashboard'!B27)+0.5*'Main Dashboard'!G27^2*B24)/('Main Dashboard'!G27*SQRT(B24)))-('Main Dashboard'!G27*SQRT(B24)))))))</f>
        <v/>
      </c>
      <c r="F24" s="26">
        <f>(C24-2*D24+E24)*100*'Main Dashboard'!$B$10</f>
        <v/>
      </c>
      <c r="G24" s="26">
        <f>F24-'Main Dashboard'!B32</f>
        <v/>
      </c>
      <c r="H24" s="38">
        <f>G24/'Main Dashboard'!B36</f>
        <v/>
      </c>
    </row>
    <row r="25">
      <c r="A25" s="19" t="n">
        <v>0</v>
      </c>
      <c r="B25" s="37">
        <f>A25/365</f>
        <v/>
      </c>
      <c r="C25" s="37">
        <f>IF(B25&lt;=0,MAX(('Main Dashboard'!$B$6*EXP(('Main Dashboard'!$B$8-'Main Dashboard'!$B$9)*B25))-'Main Dashboard'!B25,0),(EXP(-'Main Dashboard'!$B$8*B25)*(('Main Dashboard'!$B$6*EXP(('Main Dashboard'!$B$8-'Main Dashboard'!$B$9)*B25))*NORMSDIST(((LN(('Main Dashboard'!$B$6*EXP(('Main Dashboard'!$B$8-'Main Dashboard'!$B$9)*B25))/'Main Dashboard'!B25)+0.5*'Main Dashboard'!G25^2*B25)/('Main Dashboard'!G25*SQRT(B25))))-'Main Dashboard'!B25*NORMSDIST((((LN(('Main Dashboard'!$B$6*EXP(('Main Dashboard'!$B$8-'Main Dashboard'!$B$9)*B25))/'Main Dashboard'!B25)+0.5*'Main Dashboard'!G25^2*B25)/('Main Dashboard'!G25*SQRT(B25)))-('Main Dashboard'!G25*SQRT(B25)))))))</f>
        <v/>
      </c>
      <c r="D25" s="37">
        <f>IF(B25&lt;=0,MAX(('Main Dashboard'!$B$6*EXP(('Main Dashboard'!$B$8-'Main Dashboard'!$B$9)*B25))-'Main Dashboard'!B26,0),(EXP(-'Main Dashboard'!$B$8*B25)*(('Main Dashboard'!$B$6*EXP(('Main Dashboard'!$B$8-'Main Dashboard'!$B$9)*B25))*NORMSDIST(((LN(('Main Dashboard'!$B$6*EXP(('Main Dashboard'!$B$8-'Main Dashboard'!$B$9)*B25))/'Main Dashboard'!B26)+0.5*'Main Dashboard'!G26^2*B25)/('Main Dashboard'!G26*SQRT(B25))))-'Main Dashboard'!B26*NORMSDIST((((LN(('Main Dashboard'!$B$6*EXP(('Main Dashboard'!$B$8-'Main Dashboard'!$B$9)*B25))/'Main Dashboard'!B26)+0.5*'Main Dashboard'!G26^2*B25)/('Main Dashboard'!G26*SQRT(B25)))-('Main Dashboard'!G26*SQRT(B25)))))))</f>
        <v/>
      </c>
      <c r="E25" s="37">
        <f>IF(B25&lt;=0,MAX(('Main Dashboard'!$B$6*EXP(('Main Dashboard'!$B$8-'Main Dashboard'!$B$9)*B25))-'Main Dashboard'!B27,0),(EXP(-'Main Dashboard'!$B$8*B25)*(('Main Dashboard'!$B$6*EXP(('Main Dashboard'!$B$8-'Main Dashboard'!$B$9)*B25))*NORMSDIST(((LN(('Main Dashboard'!$B$6*EXP(('Main Dashboard'!$B$8-'Main Dashboard'!$B$9)*B25))/'Main Dashboard'!B27)+0.5*'Main Dashboard'!G27^2*B25)/('Main Dashboard'!G27*SQRT(B25))))-'Main Dashboard'!B27*NORMSDIST((((LN(('Main Dashboard'!$B$6*EXP(('Main Dashboard'!$B$8-'Main Dashboard'!$B$9)*B25))/'Main Dashboard'!B27)+0.5*'Main Dashboard'!G27^2*B25)/('Main Dashboard'!G27*SQRT(B25)))-('Main Dashboard'!G27*SQRT(B25)))))))</f>
        <v/>
      </c>
      <c r="F25" s="26">
        <f>(C25-2*D25+E25)*100*'Main Dashboard'!$B$10</f>
        <v/>
      </c>
      <c r="G25" s="26">
        <f>F25-'Main Dashboard'!B32</f>
        <v/>
      </c>
      <c r="H25" s="38">
        <f>G25/'Main Dashboard'!B36</f>
        <v/>
      </c>
    </row>
    <row r="26" ht="44" customHeight="1">
      <c r="A26" s="10" t="inlineStr">
        <is>
          <t>This is the most misread feature of a butterfly. Even with the underlying sitting exactly on the body strike for the whole holding period, the position is worth a small fraction of its maximum until the last few days. The value arrives at expiration, not before it.</t>
        </is>
      </c>
    </row>
    <row r="28">
      <c r="A28" s="3" t="inlineStr">
        <is>
          <t>MarketXLS Functions Used in This Sheet</t>
        </is>
      </c>
    </row>
    <row r="29">
      <c r="A29" s="9" t="inlineStr">
        <is>
          <t>=OPT_IntrinsicValue(optionSymbol,stockPrice)</t>
        </is>
      </c>
      <c r="B29" s="7" t="inlineStr">
        <is>
          <t>Intrinsic value of a leg at the current underlying price</t>
        </is>
      </c>
    </row>
    <row r="30">
      <c r="A30" s="9" t="inlineStr">
        <is>
          <t>=OPT_TimeValue(optionSymbol,price,stockPrice)</t>
        </is>
      </c>
      <c r="B30" s="7" t="inlineStr">
        <is>
          <t>Time value of a leg, which is what decays into the payoff</t>
        </is>
      </c>
    </row>
    <row r="31">
      <c r="A31" s="9" t="inlineStr">
        <is>
          <t>=OPT_DaysToExpiration(optionSymbol)</t>
        </is>
      </c>
      <c r="B31" s="7" t="inlineStr">
        <is>
          <t>Days remaining for the leg</t>
        </is>
      </c>
    </row>
    <row r="32">
      <c r="A32" s="9" t="inlineStr">
        <is>
          <t>=QM_Last($B$4)</t>
        </is>
      </c>
      <c r="B32" s="7" t="inlineStr">
        <is>
          <t>Current underlying price for the move column</t>
        </is>
      </c>
    </row>
    <row r="33">
      <c r="A33" s="10" t="inlineStr">
        <is>
          <t>These are live MarketXLS formulas and they drive every value on this sheet.</t>
        </is>
      </c>
    </row>
    <row r="35">
      <c r="A35" s="11" t="inlineStr">
        <is>
          <t>Powered by MarketXLS   |   https://marketxls.com   |   Book a demo: https://marketxls.com/book-demo</t>
        </is>
      </c>
    </row>
  </sheetData>
  <mergeCells count="12">
    <mergeCell ref="A26:H26"/>
    <mergeCell ref="A3:H3"/>
    <mergeCell ref="B32:H32"/>
    <mergeCell ref="A15:H15"/>
    <mergeCell ref="A35:H35"/>
    <mergeCell ref="A28:H28"/>
    <mergeCell ref="B30:H30"/>
    <mergeCell ref="A33:H33"/>
    <mergeCell ref="B29:H29"/>
    <mergeCell ref="A1:H1"/>
    <mergeCell ref="B31:H31"/>
    <mergeCell ref="A17:H1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37"/>
  <sheetViews>
    <sheetView workbookViewId="0">
      <pane ySplit="4" topLeftCell="A5" activePane="bottomLeft" state="frozen"/>
      <selection pane="bottomLeft" activeCell="A1" sqref="A1"/>
    </sheetView>
  </sheetViews>
  <sheetFormatPr baseColWidth="8" defaultRowHeight="15"/>
  <cols>
    <col width="14" customWidth="1" min="1" max="1"/>
    <col width="20" customWidth="1" min="2" max="2"/>
    <col width="15" customWidth="1" min="3" max="3"/>
    <col width="15" customWidth="1" min="4" max="4"/>
    <col width="15" customWidth="1" min="5" max="5"/>
    <col width="15" customWidth="1" min="6" max="6"/>
    <col width="15" customWidth="1" min="7" max="7"/>
    <col width="14" customWidth="1" min="8" max="8"/>
    <col width="16" customWidth="1" min="9" max="9"/>
    <col width="16" customWidth="1" min="10" max="10"/>
    <col width="18" customWidth="1" min="11" max="11"/>
    <col width="20" customWidth="1" min="12" max="12"/>
  </cols>
  <sheetData>
    <row r="1" ht="26" customHeight="1">
      <c r="A1" s="1" t="inlineStr">
        <is>
          <t>Strike Selection - what each choice costs</t>
        </is>
      </c>
    </row>
    <row r="3">
      <c r="A3" s="3" t="inlineStr">
        <is>
          <t>Wing width sweep, body held at 778</t>
        </is>
      </c>
    </row>
    <row r="4" ht="30" customHeight="1">
      <c r="A4" s="5" t="inlineStr">
        <is>
          <t>Wing width</t>
        </is>
      </c>
      <c r="B4" s="5" t="inlineStr">
        <is>
          <t>Strikes</t>
        </is>
      </c>
      <c r="C4" s="5" t="inlineStr">
        <is>
          <t>Lower mid</t>
        </is>
      </c>
      <c r="D4" s="5" t="inlineStr">
        <is>
          <t>Body mid</t>
        </is>
      </c>
      <c r="E4" s="5" t="inlineStr">
        <is>
          <t>Upper mid</t>
        </is>
      </c>
      <c r="F4" s="5" t="inlineStr">
        <is>
          <t>Net debit</t>
        </is>
      </c>
      <c r="G4" s="5" t="inlineStr">
        <is>
          <t>Lower breakeven</t>
        </is>
      </c>
      <c r="H4" s="5" t="inlineStr">
        <is>
          <t>Upper breakeven</t>
        </is>
      </c>
      <c r="I4" s="5" t="inlineStr">
        <is>
          <t>Max profit</t>
        </is>
      </c>
      <c r="J4" s="5" t="inlineStr">
        <is>
          <t>Max loss</t>
        </is>
      </c>
      <c r="K4" s="5" t="inlineStr">
        <is>
          <t>Reward to risk</t>
        </is>
      </c>
      <c r="L4" s="5" t="inlineStr">
        <is>
          <t>Probability of profit</t>
        </is>
      </c>
    </row>
    <row r="5">
      <c r="A5" s="19" t="n">
        <v>5</v>
      </c>
      <c r="B5" s="34" t="inlineStr">
        <is>
          <t>773 / 778 / 783</t>
        </is>
      </c>
      <c r="C5" s="22">
        <f>(IF(('Main Dashboard'!$B$6-A5)&lt;'Main Dashboard'!$B$16,Bid(OptionSymbol('Main Dashboard'!$B$4,'Main Dashboard'!$B$5,"Put",('Main Dashboard'!$B$6-A5)))+EXP(-'Main Dashboard'!$B$8*'Main Dashboard'!$B$15/365)*('Main Dashboard'!$B$16-('Main Dashboard'!$B$6-A5)),Bid(OptionSymbol('Main Dashboard'!$B$4,'Main Dashboard'!$B$5,"Call",('Main Dashboard'!$B$6-A5))))+IF(('Main Dashboard'!$B$6-A5)&lt;'Main Dashboard'!$B$16,Ask(OptionSymbol('Main Dashboard'!$B$4,'Main Dashboard'!$B$5,"Put",('Main Dashboard'!$B$6-A5)))+EXP(-'Main Dashboard'!$B$8*'Main Dashboard'!$B$15/365)*('Main Dashboard'!$B$16-('Main Dashboard'!$B$6-A5)),Ask(OptionSymbol('Main Dashboard'!$B$4,'Main Dashboard'!$B$5,"Call",('Main Dashboard'!$B$6-A5)))))/2</f>
        <v/>
      </c>
      <c r="D5" s="22">
        <f>(IF(('Main Dashboard'!$B$6)&lt;'Main Dashboard'!$B$16,Bid(OptionSymbol('Main Dashboard'!$B$4,'Main Dashboard'!$B$5,"Put",('Main Dashboard'!$B$6)))+EXP(-'Main Dashboard'!$B$8*'Main Dashboard'!$B$15/365)*('Main Dashboard'!$B$16-('Main Dashboard'!$B$6)),Bid(OptionSymbol('Main Dashboard'!$B$4,'Main Dashboard'!$B$5,"Call",('Main Dashboard'!$B$6))))+IF(('Main Dashboard'!$B$6)&lt;'Main Dashboard'!$B$16,Ask(OptionSymbol('Main Dashboard'!$B$4,'Main Dashboard'!$B$5,"Put",('Main Dashboard'!$B$6)))+EXP(-'Main Dashboard'!$B$8*'Main Dashboard'!$B$15/365)*('Main Dashboard'!$B$16-('Main Dashboard'!$B$6)),Ask(OptionSymbol('Main Dashboard'!$B$4,'Main Dashboard'!$B$5,"Call",('Main Dashboard'!$B$6)))))/2</f>
        <v/>
      </c>
      <c r="E5" s="22">
        <f>(IF(('Main Dashboard'!$B$6+A5)&lt;'Main Dashboard'!$B$16,Bid(OptionSymbol('Main Dashboard'!$B$4,'Main Dashboard'!$B$5,"Put",('Main Dashboard'!$B$6+A5)))+EXP(-'Main Dashboard'!$B$8*'Main Dashboard'!$B$15/365)*('Main Dashboard'!$B$16-('Main Dashboard'!$B$6+A5)),Bid(OptionSymbol('Main Dashboard'!$B$4,'Main Dashboard'!$B$5,"Call",('Main Dashboard'!$B$6+A5))))+IF(('Main Dashboard'!$B$6+A5)&lt;'Main Dashboard'!$B$16,Ask(OptionSymbol('Main Dashboard'!$B$4,'Main Dashboard'!$B$5,"Put",('Main Dashboard'!$B$6+A5)))+EXP(-'Main Dashboard'!$B$8*'Main Dashboard'!$B$15/365)*('Main Dashboard'!$B$16-('Main Dashboard'!$B$6+A5)),Ask(OptionSymbol('Main Dashboard'!$B$4,'Main Dashboard'!$B$5,"Call",('Main Dashboard'!$B$6+A5)))))/2</f>
        <v/>
      </c>
      <c r="F5" s="26">
        <f>(C5-2*D5+E5)*100*'Main Dashboard'!$B$10</f>
        <v/>
      </c>
      <c r="G5" s="22">
        <f>'Main Dashboard'!$B$6-A5+F5/100/'Main Dashboard'!$B$10</f>
        <v/>
      </c>
      <c r="H5" s="22">
        <f>'Main Dashboard'!$B$6+A5-F5/100/'Main Dashboard'!$B$10</f>
        <v/>
      </c>
      <c r="I5" s="39">
        <f>A5*100*'Main Dashboard'!$B$10-F5</f>
        <v/>
      </c>
      <c r="J5" s="40">
        <f>-F5</f>
        <v/>
      </c>
      <c r="K5" s="18">
        <f>I5/ABS(J5)</f>
        <v/>
      </c>
      <c r="L5" s="20">
        <f>NORMSDIST(((LN('Main Dashboard'!$B$16/(G5))-0.5*'Main Dashboard'!$B$17^2*('Main Dashboard'!$B$15/365))/('Main Dashboard'!$B$17*SQRT(('Main Dashboard'!$B$15/365)))))-NORMSDIST(((LN('Main Dashboard'!$B$16/(H5))-0.5*'Main Dashboard'!$B$17^2*('Main Dashboard'!$B$15/365))/('Main Dashboard'!$B$17*SQRT(('Main Dashboard'!$B$15/365)))))</f>
        <v/>
      </c>
    </row>
    <row r="6">
      <c r="A6" s="19" t="n">
        <v>10</v>
      </c>
      <c r="B6" s="34" t="inlineStr">
        <is>
          <t>768 / 778 / 788</t>
        </is>
      </c>
      <c r="C6" s="22">
        <f>(IF(('Main Dashboard'!$B$6-A6)&lt;'Main Dashboard'!$B$16,Bid(OptionSymbol('Main Dashboard'!$B$4,'Main Dashboard'!$B$5,"Put",('Main Dashboard'!$B$6-A6)))+EXP(-'Main Dashboard'!$B$8*'Main Dashboard'!$B$15/365)*('Main Dashboard'!$B$16-('Main Dashboard'!$B$6-A6)),Bid(OptionSymbol('Main Dashboard'!$B$4,'Main Dashboard'!$B$5,"Call",('Main Dashboard'!$B$6-A6))))+IF(('Main Dashboard'!$B$6-A6)&lt;'Main Dashboard'!$B$16,Ask(OptionSymbol('Main Dashboard'!$B$4,'Main Dashboard'!$B$5,"Put",('Main Dashboard'!$B$6-A6)))+EXP(-'Main Dashboard'!$B$8*'Main Dashboard'!$B$15/365)*('Main Dashboard'!$B$16-('Main Dashboard'!$B$6-A6)),Ask(OptionSymbol('Main Dashboard'!$B$4,'Main Dashboard'!$B$5,"Call",('Main Dashboard'!$B$6-A6)))))/2</f>
        <v/>
      </c>
      <c r="D6" s="22">
        <f>(IF(('Main Dashboard'!$B$6)&lt;'Main Dashboard'!$B$16,Bid(OptionSymbol('Main Dashboard'!$B$4,'Main Dashboard'!$B$5,"Put",('Main Dashboard'!$B$6)))+EXP(-'Main Dashboard'!$B$8*'Main Dashboard'!$B$15/365)*('Main Dashboard'!$B$16-('Main Dashboard'!$B$6)),Bid(OptionSymbol('Main Dashboard'!$B$4,'Main Dashboard'!$B$5,"Call",('Main Dashboard'!$B$6))))+IF(('Main Dashboard'!$B$6)&lt;'Main Dashboard'!$B$16,Ask(OptionSymbol('Main Dashboard'!$B$4,'Main Dashboard'!$B$5,"Put",('Main Dashboard'!$B$6)))+EXP(-'Main Dashboard'!$B$8*'Main Dashboard'!$B$15/365)*('Main Dashboard'!$B$16-('Main Dashboard'!$B$6)),Ask(OptionSymbol('Main Dashboard'!$B$4,'Main Dashboard'!$B$5,"Call",('Main Dashboard'!$B$6)))))/2</f>
        <v/>
      </c>
      <c r="E6" s="22">
        <f>(IF(('Main Dashboard'!$B$6+A6)&lt;'Main Dashboard'!$B$16,Bid(OptionSymbol('Main Dashboard'!$B$4,'Main Dashboard'!$B$5,"Put",('Main Dashboard'!$B$6+A6)))+EXP(-'Main Dashboard'!$B$8*'Main Dashboard'!$B$15/365)*('Main Dashboard'!$B$16-('Main Dashboard'!$B$6+A6)),Bid(OptionSymbol('Main Dashboard'!$B$4,'Main Dashboard'!$B$5,"Call",('Main Dashboard'!$B$6+A6))))+IF(('Main Dashboard'!$B$6+A6)&lt;'Main Dashboard'!$B$16,Ask(OptionSymbol('Main Dashboard'!$B$4,'Main Dashboard'!$B$5,"Put",('Main Dashboard'!$B$6+A6)))+EXP(-'Main Dashboard'!$B$8*'Main Dashboard'!$B$15/365)*('Main Dashboard'!$B$16-('Main Dashboard'!$B$6+A6)),Ask(OptionSymbol('Main Dashboard'!$B$4,'Main Dashboard'!$B$5,"Call",('Main Dashboard'!$B$6+A6)))))/2</f>
        <v/>
      </c>
      <c r="F6" s="26">
        <f>(C6-2*D6+E6)*100*'Main Dashboard'!$B$10</f>
        <v/>
      </c>
      <c r="G6" s="22">
        <f>'Main Dashboard'!$B$6-A6+F6/100/'Main Dashboard'!$B$10</f>
        <v/>
      </c>
      <c r="H6" s="22">
        <f>'Main Dashboard'!$B$6+A6-F6/100/'Main Dashboard'!$B$10</f>
        <v/>
      </c>
      <c r="I6" s="39">
        <f>A6*100*'Main Dashboard'!$B$10-F6</f>
        <v/>
      </c>
      <c r="J6" s="40">
        <f>-F6</f>
        <v/>
      </c>
      <c r="K6" s="18">
        <f>I6/ABS(J6)</f>
        <v/>
      </c>
      <c r="L6" s="20">
        <f>NORMSDIST(((LN('Main Dashboard'!$B$16/(G6))-0.5*'Main Dashboard'!$B$17^2*('Main Dashboard'!$B$15/365))/('Main Dashboard'!$B$17*SQRT(('Main Dashboard'!$B$15/365)))))-NORMSDIST(((LN('Main Dashboard'!$B$16/(H6))-0.5*'Main Dashboard'!$B$17^2*('Main Dashboard'!$B$15/365))/('Main Dashboard'!$B$17*SQRT(('Main Dashboard'!$B$15/365)))))</f>
        <v/>
      </c>
    </row>
    <row r="7">
      <c r="A7" s="19" t="n">
        <v>15</v>
      </c>
      <c r="B7" s="34" t="inlineStr">
        <is>
          <t>763 / 778 / 793</t>
        </is>
      </c>
      <c r="C7" s="22">
        <f>(IF(('Main Dashboard'!$B$6-A7)&lt;'Main Dashboard'!$B$16,Bid(OptionSymbol('Main Dashboard'!$B$4,'Main Dashboard'!$B$5,"Put",('Main Dashboard'!$B$6-A7)))+EXP(-'Main Dashboard'!$B$8*'Main Dashboard'!$B$15/365)*('Main Dashboard'!$B$16-('Main Dashboard'!$B$6-A7)),Bid(OptionSymbol('Main Dashboard'!$B$4,'Main Dashboard'!$B$5,"Call",('Main Dashboard'!$B$6-A7))))+IF(('Main Dashboard'!$B$6-A7)&lt;'Main Dashboard'!$B$16,Ask(OptionSymbol('Main Dashboard'!$B$4,'Main Dashboard'!$B$5,"Put",('Main Dashboard'!$B$6-A7)))+EXP(-'Main Dashboard'!$B$8*'Main Dashboard'!$B$15/365)*('Main Dashboard'!$B$16-('Main Dashboard'!$B$6-A7)),Ask(OptionSymbol('Main Dashboard'!$B$4,'Main Dashboard'!$B$5,"Call",('Main Dashboard'!$B$6-A7)))))/2</f>
        <v/>
      </c>
      <c r="D7" s="22">
        <f>(IF(('Main Dashboard'!$B$6)&lt;'Main Dashboard'!$B$16,Bid(OptionSymbol('Main Dashboard'!$B$4,'Main Dashboard'!$B$5,"Put",('Main Dashboard'!$B$6)))+EXP(-'Main Dashboard'!$B$8*'Main Dashboard'!$B$15/365)*('Main Dashboard'!$B$16-('Main Dashboard'!$B$6)),Bid(OptionSymbol('Main Dashboard'!$B$4,'Main Dashboard'!$B$5,"Call",('Main Dashboard'!$B$6))))+IF(('Main Dashboard'!$B$6)&lt;'Main Dashboard'!$B$16,Ask(OptionSymbol('Main Dashboard'!$B$4,'Main Dashboard'!$B$5,"Put",('Main Dashboard'!$B$6)))+EXP(-'Main Dashboard'!$B$8*'Main Dashboard'!$B$15/365)*('Main Dashboard'!$B$16-('Main Dashboard'!$B$6)),Ask(OptionSymbol('Main Dashboard'!$B$4,'Main Dashboard'!$B$5,"Call",('Main Dashboard'!$B$6)))))/2</f>
        <v/>
      </c>
      <c r="E7" s="22">
        <f>(IF(('Main Dashboard'!$B$6+A7)&lt;'Main Dashboard'!$B$16,Bid(OptionSymbol('Main Dashboard'!$B$4,'Main Dashboard'!$B$5,"Put",('Main Dashboard'!$B$6+A7)))+EXP(-'Main Dashboard'!$B$8*'Main Dashboard'!$B$15/365)*('Main Dashboard'!$B$16-('Main Dashboard'!$B$6+A7)),Bid(OptionSymbol('Main Dashboard'!$B$4,'Main Dashboard'!$B$5,"Call",('Main Dashboard'!$B$6+A7))))+IF(('Main Dashboard'!$B$6+A7)&lt;'Main Dashboard'!$B$16,Ask(OptionSymbol('Main Dashboard'!$B$4,'Main Dashboard'!$B$5,"Put",('Main Dashboard'!$B$6+A7)))+EXP(-'Main Dashboard'!$B$8*'Main Dashboard'!$B$15/365)*('Main Dashboard'!$B$16-('Main Dashboard'!$B$6+A7)),Ask(OptionSymbol('Main Dashboard'!$B$4,'Main Dashboard'!$B$5,"Call",('Main Dashboard'!$B$6+A7)))))/2</f>
        <v/>
      </c>
      <c r="F7" s="26">
        <f>(C7-2*D7+E7)*100*'Main Dashboard'!$B$10</f>
        <v/>
      </c>
      <c r="G7" s="22">
        <f>'Main Dashboard'!$B$6-A7+F7/100/'Main Dashboard'!$B$10</f>
        <v/>
      </c>
      <c r="H7" s="22">
        <f>'Main Dashboard'!$B$6+A7-F7/100/'Main Dashboard'!$B$10</f>
        <v/>
      </c>
      <c r="I7" s="39">
        <f>A7*100*'Main Dashboard'!$B$10-F7</f>
        <v/>
      </c>
      <c r="J7" s="40">
        <f>-F7</f>
        <v/>
      </c>
      <c r="K7" s="18">
        <f>I7/ABS(J7)</f>
        <v/>
      </c>
      <c r="L7" s="20">
        <f>NORMSDIST(((LN('Main Dashboard'!$B$16/(G7))-0.5*'Main Dashboard'!$B$17^2*('Main Dashboard'!$B$15/365))/('Main Dashboard'!$B$17*SQRT(('Main Dashboard'!$B$15/365)))))-NORMSDIST(((LN('Main Dashboard'!$B$16/(H7))-0.5*'Main Dashboard'!$B$17^2*('Main Dashboard'!$B$15/365))/('Main Dashboard'!$B$17*SQRT(('Main Dashboard'!$B$15/365)))))</f>
        <v/>
      </c>
    </row>
    <row r="8">
      <c r="A8" s="19" t="n">
        <v>20</v>
      </c>
      <c r="B8" s="34" t="inlineStr">
        <is>
          <t>758 / 778 / 798</t>
        </is>
      </c>
      <c r="C8" s="22">
        <f>(IF(('Main Dashboard'!$B$6-A8)&lt;'Main Dashboard'!$B$16,Bid(OptionSymbol('Main Dashboard'!$B$4,'Main Dashboard'!$B$5,"Put",('Main Dashboard'!$B$6-A8)))+EXP(-'Main Dashboard'!$B$8*'Main Dashboard'!$B$15/365)*('Main Dashboard'!$B$16-('Main Dashboard'!$B$6-A8)),Bid(OptionSymbol('Main Dashboard'!$B$4,'Main Dashboard'!$B$5,"Call",('Main Dashboard'!$B$6-A8))))+IF(('Main Dashboard'!$B$6-A8)&lt;'Main Dashboard'!$B$16,Ask(OptionSymbol('Main Dashboard'!$B$4,'Main Dashboard'!$B$5,"Put",('Main Dashboard'!$B$6-A8)))+EXP(-'Main Dashboard'!$B$8*'Main Dashboard'!$B$15/365)*('Main Dashboard'!$B$16-('Main Dashboard'!$B$6-A8)),Ask(OptionSymbol('Main Dashboard'!$B$4,'Main Dashboard'!$B$5,"Call",('Main Dashboard'!$B$6-A8)))))/2</f>
        <v/>
      </c>
      <c r="D8" s="22">
        <f>(IF(('Main Dashboard'!$B$6)&lt;'Main Dashboard'!$B$16,Bid(OptionSymbol('Main Dashboard'!$B$4,'Main Dashboard'!$B$5,"Put",('Main Dashboard'!$B$6)))+EXP(-'Main Dashboard'!$B$8*'Main Dashboard'!$B$15/365)*('Main Dashboard'!$B$16-('Main Dashboard'!$B$6)),Bid(OptionSymbol('Main Dashboard'!$B$4,'Main Dashboard'!$B$5,"Call",('Main Dashboard'!$B$6))))+IF(('Main Dashboard'!$B$6)&lt;'Main Dashboard'!$B$16,Ask(OptionSymbol('Main Dashboard'!$B$4,'Main Dashboard'!$B$5,"Put",('Main Dashboard'!$B$6)))+EXP(-'Main Dashboard'!$B$8*'Main Dashboard'!$B$15/365)*('Main Dashboard'!$B$16-('Main Dashboard'!$B$6)),Ask(OptionSymbol('Main Dashboard'!$B$4,'Main Dashboard'!$B$5,"Call",('Main Dashboard'!$B$6)))))/2</f>
        <v/>
      </c>
      <c r="E8" s="22">
        <f>(IF(('Main Dashboard'!$B$6+A8)&lt;'Main Dashboard'!$B$16,Bid(OptionSymbol('Main Dashboard'!$B$4,'Main Dashboard'!$B$5,"Put",('Main Dashboard'!$B$6+A8)))+EXP(-'Main Dashboard'!$B$8*'Main Dashboard'!$B$15/365)*('Main Dashboard'!$B$16-('Main Dashboard'!$B$6+A8)),Bid(OptionSymbol('Main Dashboard'!$B$4,'Main Dashboard'!$B$5,"Call",('Main Dashboard'!$B$6+A8))))+IF(('Main Dashboard'!$B$6+A8)&lt;'Main Dashboard'!$B$16,Ask(OptionSymbol('Main Dashboard'!$B$4,'Main Dashboard'!$B$5,"Put",('Main Dashboard'!$B$6+A8)))+EXP(-'Main Dashboard'!$B$8*'Main Dashboard'!$B$15/365)*('Main Dashboard'!$B$16-('Main Dashboard'!$B$6+A8)),Ask(OptionSymbol('Main Dashboard'!$B$4,'Main Dashboard'!$B$5,"Call",('Main Dashboard'!$B$6+A8)))))/2</f>
        <v/>
      </c>
      <c r="F8" s="26">
        <f>(C8-2*D8+E8)*100*'Main Dashboard'!$B$10</f>
        <v/>
      </c>
      <c r="G8" s="22">
        <f>'Main Dashboard'!$B$6-A8+F8/100/'Main Dashboard'!$B$10</f>
        <v/>
      </c>
      <c r="H8" s="22">
        <f>'Main Dashboard'!$B$6+A8-F8/100/'Main Dashboard'!$B$10</f>
        <v/>
      </c>
      <c r="I8" s="39">
        <f>A8*100*'Main Dashboard'!$B$10-F8</f>
        <v/>
      </c>
      <c r="J8" s="40">
        <f>-F8</f>
        <v/>
      </c>
      <c r="K8" s="18">
        <f>I8/ABS(J8)</f>
        <v/>
      </c>
      <c r="L8" s="20">
        <f>NORMSDIST(((LN('Main Dashboard'!$B$16/(G8))-0.5*'Main Dashboard'!$B$17^2*('Main Dashboard'!$B$15/365))/('Main Dashboard'!$B$17*SQRT(('Main Dashboard'!$B$15/365)))))-NORMSDIST(((LN('Main Dashboard'!$B$16/(H8))-0.5*'Main Dashboard'!$B$17^2*('Main Dashboard'!$B$15/365))/('Main Dashboard'!$B$17*SQRT(('Main Dashboard'!$B$15/365)))))</f>
        <v/>
      </c>
    </row>
    <row r="9">
      <c r="A9" s="19" t="n">
        <v>25</v>
      </c>
      <c r="B9" s="34" t="inlineStr">
        <is>
          <t>753 / 778 / 803</t>
        </is>
      </c>
      <c r="C9" s="22">
        <f>(IF(('Main Dashboard'!$B$6-A9)&lt;'Main Dashboard'!$B$16,Bid(OptionSymbol('Main Dashboard'!$B$4,'Main Dashboard'!$B$5,"Put",('Main Dashboard'!$B$6-A9)))+EXP(-'Main Dashboard'!$B$8*'Main Dashboard'!$B$15/365)*('Main Dashboard'!$B$16-('Main Dashboard'!$B$6-A9)),Bid(OptionSymbol('Main Dashboard'!$B$4,'Main Dashboard'!$B$5,"Call",('Main Dashboard'!$B$6-A9))))+IF(('Main Dashboard'!$B$6-A9)&lt;'Main Dashboard'!$B$16,Ask(OptionSymbol('Main Dashboard'!$B$4,'Main Dashboard'!$B$5,"Put",('Main Dashboard'!$B$6-A9)))+EXP(-'Main Dashboard'!$B$8*'Main Dashboard'!$B$15/365)*('Main Dashboard'!$B$16-('Main Dashboard'!$B$6-A9)),Ask(OptionSymbol('Main Dashboard'!$B$4,'Main Dashboard'!$B$5,"Call",('Main Dashboard'!$B$6-A9)))))/2</f>
        <v/>
      </c>
      <c r="D9" s="22">
        <f>(IF(('Main Dashboard'!$B$6)&lt;'Main Dashboard'!$B$16,Bid(OptionSymbol('Main Dashboard'!$B$4,'Main Dashboard'!$B$5,"Put",('Main Dashboard'!$B$6)))+EXP(-'Main Dashboard'!$B$8*'Main Dashboard'!$B$15/365)*('Main Dashboard'!$B$16-('Main Dashboard'!$B$6)),Bid(OptionSymbol('Main Dashboard'!$B$4,'Main Dashboard'!$B$5,"Call",('Main Dashboard'!$B$6))))+IF(('Main Dashboard'!$B$6)&lt;'Main Dashboard'!$B$16,Ask(OptionSymbol('Main Dashboard'!$B$4,'Main Dashboard'!$B$5,"Put",('Main Dashboard'!$B$6)))+EXP(-'Main Dashboard'!$B$8*'Main Dashboard'!$B$15/365)*('Main Dashboard'!$B$16-('Main Dashboard'!$B$6)),Ask(OptionSymbol('Main Dashboard'!$B$4,'Main Dashboard'!$B$5,"Call",('Main Dashboard'!$B$6)))))/2</f>
        <v/>
      </c>
      <c r="E9" s="22">
        <f>(IF(('Main Dashboard'!$B$6+A9)&lt;'Main Dashboard'!$B$16,Bid(OptionSymbol('Main Dashboard'!$B$4,'Main Dashboard'!$B$5,"Put",('Main Dashboard'!$B$6+A9)))+EXP(-'Main Dashboard'!$B$8*'Main Dashboard'!$B$15/365)*('Main Dashboard'!$B$16-('Main Dashboard'!$B$6+A9)),Bid(OptionSymbol('Main Dashboard'!$B$4,'Main Dashboard'!$B$5,"Call",('Main Dashboard'!$B$6+A9))))+IF(('Main Dashboard'!$B$6+A9)&lt;'Main Dashboard'!$B$16,Ask(OptionSymbol('Main Dashboard'!$B$4,'Main Dashboard'!$B$5,"Put",('Main Dashboard'!$B$6+A9)))+EXP(-'Main Dashboard'!$B$8*'Main Dashboard'!$B$15/365)*('Main Dashboard'!$B$16-('Main Dashboard'!$B$6+A9)),Ask(OptionSymbol('Main Dashboard'!$B$4,'Main Dashboard'!$B$5,"Call",('Main Dashboard'!$B$6+A9)))))/2</f>
        <v/>
      </c>
      <c r="F9" s="26">
        <f>(C9-2*D9+E9)*100*'Main Dashboard'!$B$10</f>
        <v/>
      </c>
      <c r="G9" s="22">
        <f>'Main Dashboard'!$B$6-A9+F9/100/'Main Dashboard'!$B$10</f>
        <v/>
      </c>
      <c r="H9" s="22">
        <f>'Main Dashboard'!$B$6+A9-F9/100/'Main Dashboard'!$B$10</f>
        <v/>
      </c>
      <c r="I9" s="39">
        <f>A9*100*'Main Dashboard'!$B$10-F9</f>
        <v/>
      </c>
      <c r="J9" s="40">
        <f>-F9</f>
        <v/>
      </c>
      <c r="K9" s="18">
        <f>I9/ABS(J9)</f>
        <v/>
      </c>
      <c r="L9" s="20">
        <f>NORMSDIST(((LN('Main Dashboard'!$B$16/(G9))-0.5*'Main Dashboard'!$B$17^2*('Main Dashboard'!$B$15/365))/('Main Dashboard'!$B$17*SQRT(('Main Dashboard'!$B$15/365)))))-NORMSDIST(((LN('Main Dashboard'!$B$16/(H9))-0.5*'Main Dashboard'!$B$17^2*('Main Dashboard'!$B$15/365))/('Main Dashboard'!$B$17*SQRT(('Main Dashboard'!$B$15/365)))))</f>
        <v/>
      </c>
    </row>
    <row r="10" ht="32" customHeight="1">
      <c r="A10" s="10" t="inlineStr">
        <is>
          <t>Reward to risk and probability of profit move in opposite directions down this table. The reward to risk ratio is the probability rewritten as a ratio, so ranking butterflies by reward to risk ranks them by how unlikely they are.</t>
        </is>
      </c>
    </row>
    <row r="12">
      <c r="A12" s="3" t="inlineStr">
        <is>
          <t>Body placement sweep, wing width held at 10</t>
        </is>
      </c>
    </row>
    <row r="13" ht="30" customHeight="1">
      <c r="A13" s="5" t="inlineStr">
        <is>
          <t>Body strike</t>
        </is>
      </c>
      <c r="B13" s="5" t="inlineStr">
        <is>
          <t>Distance from forward</t>
        </is>
      </c>
      <c r="C13" s="5" t="inlineStr">
        <is>
          <t>Net debit</t>
        </is>
      </c>
      <c r="D13" s="5" t="inlineStr">
        <is>
          <t>Max profit</t>
        </is>
      </c>
      <c r="E13" s="5" t="inlineStr">
        <is>
          <t>Reward to risk</t>
        </is>
      </c>
      <c r="F13" s="5" t="inlineStr">
        <is>
          <t>Probability of profit</t>
        </is>
      </c>
      <c r="G13" s="5" t="inlineStr">
        <is>
          <t>Probability within $1 of the body</t>
        </is>
      </c>
      <c r="H13" s="5" t="inlineStr">
        <is>
          <t>Expected value, market prices</t>
        </is>
      </c>
      <c r="I13" s="5" t="inlineStr">
        <is>
          <t>Expected value, one volatility</t>
        </is>
      </c>
    </row>
    <row r="14">
      <c r="A14" s="18" t="n">
        <v>750</v>
      </c>
      <c r="B14" s="32" t="n">
        <v>-0.03567294567411284</v>
      </c>
      <c r="C14" s="33" t="n">
        <v>59.49999999999953</v>
      </c>
      <c r="D14" s="39" t="n">
        <v>940.5000000000005</v>
      </c>
      <c r="E14" s="22" t="n">
        <v>15.80672268907576</v>
      </c>
      <c r="F14" s="20" t="n">
        <v>0.1154515864263849</v>
      </c>
      <c r="G14" s="24" t="n">
        <v>0.01254312146846592</v>
      </c>
      <c r="H14" s="33" t="n">
        <v>0.205258189638091</v>
      </c>
      <c r="I14" s="28" t="n">
        <v>30.47793326892949</v>
      </c>
    </row>
    <row r="15">
      <c r="A15" s="18" t="n">
        <v>755</v>
      </c>
      <c r="B15" s="32" t="n">
        <v>-0.02924409864527359</v>
      </c>
      <c r="C15" s="33" t="n">
        <v>75</v>
      </c>
      <c r="D15" s="39" t="n">
        <v>925</v>
      </c>
      <c r="E15" s="22" t="n">
        <v>12.33333333333333</v>
      </c>
      <c r="F15" s="20" t="n">
        <v>0.1411054619497923</v>
      </c>
      <c r="G15" s="24" t="n">
        <v>0.0150517457621494</v>
      </c>
      <c r="H15" s="33" t="n">
        <v>0.258728810468184</v>
      </c>
      <c r="I15" s="28" t="n">
        <v>28.17853106570207</v>
      </c>
    </row>
    <row r="16">
      <c r="A16" s="18" t="n">
        <v>760</v>
      </c>
      <c r="B16" s="32" t="n">
        <v>-0.02281525161643434</v>
      </c>
      <c r="C16" s="33" t="n">
        <v>92.00000000000017</v>
      </c>
      <c r="D16" s="39" t="n">
        <v>907.9999999999998</v>
      </c>
      <c r="E16" s="22" t="n">
        <v>9.869565217391283</v>
      </c>
      <c r="F16" s="20" t="n">
        <v>0.1696823021460135</v>
      </c>
      <c r="G16" s="24" t="n">
        <v>0.01254312146846948</v>
      </c>
      <c r="H16" s="33" t="n">
        <v>0.3173740075076396</v>
      </c>
      <c r="I16" s="28" t="n">
        <v>22.85464510902837</v>
      </c>
    </row>
    <row r="17">
      <c r="A17" s="18" t="n">
        <v>765</v>
      </c>
      <c r="B17" s="32" t="n">
        <v>-0.01638640458759509</v>
      </c>
      <c r="C17" s="33" t="n">
        <v>112.0000000000005</v>
      </c>
      <c r="D17" s="39" t="n">
        <v>887.9999999999995</v>
      </c>
      <c r="E17" s="22" t="n">
        <v>7.928571428571392</v>
      </c>
      <c r="F17" s="20" t="n">
        <v>0.2029974950038139</v>
      </c>
      <c r="G17" s="24" t="n">
        <v>0.02006899434942921</v>
      </c>
      <c r="H17" s="33" t="n">
        <v>0.3863683569658229</v>
      </c>
      <c r="I17" s="28" t="n">
        <v>12.1198276463508</v>
      </c>
    </row>
    <row r="18">
      <c r="A18" s="18" t="n">
        <v>770</v>
      </c>
      <c r="B18" s="32" t="n">
        <v>-0.009957557558755846</v>
      </c>
      <c r="C18" s="33" t="n">
        <v>120.7810710826676</v>
      </c>
      <c r="D18" s="39" t="n">
        <v>879.2189289173324</v>
      </c>
      <c r="E18" s="22" t="n">
        <v>7.279443053751016</v>
      </c>
      <c r="F18" s="20" t="n">
        <v>0.2092047115669974</v>
      </c>
      <c r="G18" s="24" t="n">
        <v>0.02508624293690775</v>
      </c>
      <c r="H18" s="33" t="n">
        <v>0.4166605713105568</v>
      </c>
      <c r="I18" s="28" t="n">
        <v>9.486681490537705</v>
      </c>
    </row>
    <row r="19">
      <c r="A19" s="18" t="n">
        <v>775</v>
      </c>
      <c r="B19" s="32" t="n">
        <v>-0.003528710529916598</v>
      </c>
      <c r="C19" s="33" t="n">
        <v>126.0621421653337</v>
      </c>
      <c r="D19" s="39" t="n">
        <v>873.9378578346664</v>
      </c>
      <c r="E19" s="22" t="n">
        <v>6.932595645475189</v>
      </c>
      <c r="F19" s="20" t="n">
        <v>0.2370849831906402</v>
      </c>
      <c r="G19" s="24" t="n">
        <v>0.02759486723053339</v>
      </c>
      <c r="H19" s="33" t="n">
        <v>0.434878774500105</v>
      </c>
      <c r="I19" s="28" t="n">
        <v>6.937497436714806</v>
      </c>
    </row>
    <row r="20">
      <c r="A20" s="18" t="n">
        <v>780</v>
      </c>
      <c r="B20" s="32" t="n">
        <v>0.002900136498922649</v>
      </c>
      <c r="C20" s="33" t="n">
        <v>149.7810710826649</v>
      </c>
      <c r="D20" s="39" t="n">
        <v>850.2189289173351</v>
      </c>
      <c r="E20" s="22" t="n">
        <v>5.676411062971338</v>
      </c>
      <c r="F20" s="20" t="n">
        <v>0.2500591418474294</v>
      </c>
      <c r="G20" s="24" t="n">
        <v>0.03010349152424363</v>
      </c>
      <c r="H20" s="33" t="n">
        <v>0.5167023780249118</v>
      </c>
      <c r="I20" s="29" t="n">
        <v>-17.9251889517605</v>
      </c>
    </row>
    <row r="21">
      <c r="A21" s="18" t="n">
        <v>785</v>
      </c>
      <c r="B21" s="32" t="n">
        <v>0.009328983527761897</v>
      </c>
      <c r="C21" s="33" t="n">
        <v>164.4999999999985</v>
      </c>
      <c r="D21" s="39" t="n">
        <v>835.5000000000015</v>
      </c>
      <c r="E21" s="22" t="n">
        <v>5.079027355623155</v>
      </c>
      <c r="F21" s="20" t="n">
        <v>0.2758801148887925</v>
      </c>
      <c r="G21" s="24" t="n">
        <v>0.03261211581781182</v>
      </c>
      <c r="H21" s="33" t="n">
        <v>0.5674785242935452</v>
      </c>
      <c r="I21" s="29" t="n">
        <v>-37.22632475920028</v>
      </c>
    </row>
    <row r="22">
      <c r="A22" s="18" t="n">
        <v>790</v>
      </c>
      <c r="B22" s="32" t="n">
        <v>0.01575783055660114</v>
      </c>
      <c r="C22" s="33" t="n">
        <v>159</v>
      </c>
      <c r="D22" s="39" t="n">
        <v>841</v>
      </c>
      <c r="E22" s="22" t="n">
        <v>5.289308176100628</v>
      </c>
      <c r="F22" s="20" t="n">
        <v>0.267857982413361</v>
      </c>
      <c r="G22" s="24" t="n">
        <v>0.02508624293679457</v>
      </c>
      <c r="H22" s="33" t="n">
        <v>0.5485050781925501</v>
      </c>
      <c r="I22" s="29" t="n">
        <v>-39.39690965533968</v>
      </c>
    </row>
    <row r="23">
      <c r="A23" s="18" t="n">
        <v>795</v>
      </c>
      <c r="B23" s="32" t="n">
        <v>0.02218667758544039</v>
      </c>
      <c r="C23" s="33" t="n">
        <v>148.5000000000001</v>
      </c>
      <c r="D23" s="39" t="n">
        <v>851.4999999999999</v>
      </c>
      <c r="E23" s="22" t="n">
        <v>5.734006734006729</v>
      </c>
      <c r="F23" s="20" t="n">
        <v>0.251373619056743</v>
      </c>
      <c r="G23" s="24" t="n">
        <v>0.03010349152420111</v>
      </c>
      <c r="H23" s="33" t="n">
        <v>0.5122830447270047</v>
      </c>
      <c r="I23" s="29" t="n">
        <v>-39.06244624629793</v>
      </c>
    </row>
    <row r="24">
      <c r="A24" s="18" t="n">
        <v>800</v>
      </c>
      <c r="B24" s="32" t="n">
        <v>0.02861552461427964</v>
      </c>
      <c r="C24" s="33" t="n">
        <v>131.5</v>
      </c>
      <c r="D24" s="39" t="n">
        <v>868.5</v>
      </c>
      <c r="E24" s="22" t="n">
        <v>6.604562737642584</v>
      </c>
      <c r="F24" s="20" t="n">
        <v>0.228826280052516</v>
      </c>
      <c r="G24" s="24" t="n">
        <v>0.0275948672305191</v>
      </c>
      <c r="H24" s="33" t="n">
        <v>0.4536378476875493</v>
      </c>
      <c r="I24" s="29" t="n">
        <v>-33.88036684993964</v>
      </c>
    </row>
    <row r="25">
      <c r="A25" s="18" t="n">
        <v>805</v>
      </c>
      <c r="B25" s="32" t="n">
        <v>0.03504437164311889</v>
      </c>
      <c r="C25" s="33" t="n">
        <v>110</v>
      </c>
      <c r="D25" s="39" t="n">
        <v>890</v>
      </c>
      <c r="E25" s="22" t="n">
        <v>8.09090909090909</v>
      </c>
      <c r="F25" s="20" t="n">
        <v>0.1959302472607085</v>
      </c>
      <c r="G25" s="24" t="n">
        <v>0.02257761864303393</v>
      </c>
      <c r="H25" s="33" t="n">
        <v>0.3794689220200032</v>
      </c>
      <c r="I25" s="29" t="n">
        <v>-25.17094039420256</v>
      </c>
    </row>
    <row r="26" ht="46" customHeight="1">
      <c r="A26" s="10" t="inlineStr">
        <is>
          <t>Read the last two columns together. Priced off the market's own volatility at each strike, every butterfly here has an expected value of a few cents, which is the financing on the premium. Priced with one volatility for all three legs, the same butterflies appear to range from a large edge to a large loss. That entire spread is the volatility smile being ignored.</t>
        </is>
      </c>
    </row>
    <row r="28">
      <c r="A28" s="3" t="inlineStr">
        <is>
          <t>MarketXLS Functions Used in This Sheet</t>
        </is>
      </c>
    </row>
    <row r="29">
      <c r="A29" s="9" t="inlineStr">
        <is>
          <t>=Strikes($B$4,$B$5)</t>
        </is>
      </c>
      <c r="B29" s="7" t="inlineStr">
        <is>
          <t>Available strikes for the expiration</t>
        </is>
      </c>
    </row>
    <row r="30">
      <c r="A30" s="9" t="inlineStr">
        <is>
          <t>=ExpirationNext($B$4,4)</t>
        </is>
      </c>
      <c r="B30" s="7" t="inlineStr">
        <is>
          <t>The next four expiration dates</t>
        </is>
      </c>
    </row>
    <row r="31">
      <c r="A31" s="9" t="inlineStr">
        <is>
          <t>=OptionSymbol(symbol,expiry,"Call",strike)</t>
        </is>
      </c>
      <c r="B31" s="7" t="inlineStr">
        <is>
          <t>Symbol for a candidate strike</t>
        </is>
      </c>
    </row>
    <row r="32">
      <c r="A32" s="9" t="inlineStr">
        <is>
          <t>=Bid(optionSymbol)</t>
        </is>
      </c>
      <c r="B32" s="7" t="inlineStr">
        <is>
          <t>Bid for a candidate leg</t>
        </is>
      </c>
    </row>
    <row r="33">
      <c r="A33" s="9" t="inlineStr">
        <is>
          <t>=Ask(optionSymbol)</t>
        </is>
      </c>
      <c r="B33" s="7" t="inlineStr">
        <is>
          <t>Ask for a candidate leg</t>
        </is>
      </c>
    </row>
    <row r="34">
      <c r="A34" s="9" t="inlineStr">
        <is>
          <t>=QM_OpenInterest(optionSymbol)</t>
        </is>
      </c>
      <c r="B34" s="7" t="inlineStr">
        <is>
          <t>Open interest, a staleness check on the quote</t>
        </is>
      </c>
    </row>
    <row r="35">
      <c r="A35" s="10" t="inlineStr">
        <is>
          <t>These are live MarketXLS formulas and they drive every value on this sheet.</t>
        </is>
      </c>
    </row>
    <row r="37">
      <c r="A37" s="11" t="inlineStr">
        <is>
          <t>Powered by MarketXLS   |   https://marketxls.com   |   Book a demo: https://marketxls.com/book-demo</t>
        </is>
      </c>
    </row>
  </sheetData>
  <mergeCells count="14">
    <mergeCell ref="A26:L26"/>
    <mergeCell ref="A10:L10"/>
    <mergeCell ref="B30:L30"/>
    <mergeCell ref="B29:L29"/>
    <mergeCell ref="B33:L33"/>
    <mergeCell ref="A1:L1"/>
    <mergeCell ref="A28:L28"/>
    <mergeCell ref="A35:L35"/>
    <mergeCell ref="A37:L37"/>
    <mergeCell ref="B32:L32"/>
    <mergeCell ref="B34:L34"/>
    <mergeCell ref="A3:L3"/>
    <mergeCell ref="B31:L31"/>
    <mergeCell ref="A12:L1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30"/>
  <sheetViews>
    <sheetView workbookViewId="0">
      <pane ySplit="2" topLeftCell="A3" activePane="bottomLeft" state="frozen"/>
      <selection pane="bottomLeft" activeCell="A1" sqref="A1"/>
    </sheetView>
  </sheetViews>
  <sheetFormatPr baseColWidth="8" defaultRowHeight="15"/>
  <cols>
    <col width="34" customWidth="1" min="1" max="1"/>
    <col width="18" customWidth="1" min="2" max="2"/>
    <col width="20" customWidth="1" min="3" max="3"/>
    <col width="20" customWidth="1" min="4" max="4"/>
    <col width="24" customWidth="1" min="5" max="5"/>
    <col width="30" customWidth="1" min="6" max="6"/>
  </cols>
  <sheetData>
    <row r="1" ht="26" customHeight="1">
      <c r="A1" s="1" t="inlineStr">
        <is>
          <t>Position Sizing - contracts the account can carry</t>
        </is>
      </c>
    </row>
    <row r="3">
      <c r="A3" s="13" t="inlineStr">
        <is>
          <t>Portfolio value</t>
        </is>
      </c>
      <c r="B3" s="41" t="n">
        <v>250000</v>
      </c>
    </row>
    <row r="4">
      <c r="A4" s="13" t="inlineStr">
        <is>
          <t>Maximum loss per contract</t>
        </is>
      </c>
      <c r="B4" s="26">
        <f>'Main Dashboard'!B32</f>
        <v/>
      </c>
    </row>
    <row r="5">
      <c r="A5" s="13" t="inlineStr">
        <is>
          <t>Maximum profit per contract</t>
        </is>
      </c>
      <c r="B5" s="26">
        <f>'Main Dashboard'!B36</f>
        <v/>
      </c>
    </row>
    <row r="7">
      <c r="A7" s="3" t="inlineStr">
        <is>
          <t>Contracts at each risk budget</t>
        </is>
      </c>
    </row>
    <row r="8" ht="30" customHeight="1">
      <c r="A8" s="5" t="inlineStr">
        <is>
          <t>Risk per trade</t>
        </is>
      </c>
      <c r="B8" s="5" t="inlineStr">
        <is>
          <t>Dollars at risk</t>
        </is>
      </c>
      <c r="C8" s="5" t="inlineStr">
        <is>
          <t>Contracts</t>
        </is>
      </c>
      <c r="D8" s="5" t="inlineStr">
        <is>
          <t>Total debit</t>
        </is>
      </c>
      <c r="E8" s="5" t="inlineStr">
        <is>
          <t>Maximum profit if pinned</t>
        </is>
      </c>
    </row>
    <row r="9">
      <c r="A9" s="20" t="n">
        <v>0.0025</v>
      </c>
      <c r="B9" s="42">
        <f>$B$3*A9</f>
        <v/>
      </c>
      <c r="C9" s="19">
        <f>INT(B9/$B$4)</f>
        <v/>
      </c>
      <c r="D9" s="40">
        <f>C9*$B$4</f>
        <v/>
      </c>
      <c r="E9" s="39">
        <f>C9*$B$5</f>
        <v/>
      </c>
    </row>
    <row r="10">
      <c r="A10" s="20" t="n">
        <v>0.005</v>
      </c>
      <c r="B10" s="42">
        <f>$B$3*A10</f>
        <v/>
      </c>
      <c r="C10" s="19">
        <f>INT(B10/$B$4)</f>
        <v/>
      </c>
      <c r="D10" s="40">
        <f>C10*$B$4</f>
        <v/>
      </c>
      <c r="E10" s="39">
        <f>C10*$B$5</f>
        <v/>
      </c>
    </row>
    <row r="11">
      <c r="A11" s="20" t="n">
        <v>0.01</v>
      </c>
      <c r="B11" s="42">
        <f>$B$3*A11</f>
        <v/>
      </c>
      <c r="C11" s="19">
        <f>INT(B11/$B$4)</f>
        <v/>
      </c>
      <c r="D11" s="40">
        <f>C11*$B$4</f>
        <v/>
      </c>
      <c r="E11" s="39">
        <f>C11*$B$5</f>
        <v/>
      </c>
    </row>
    <row r="12">
      <c r="A12" s="20" t="n">
        <v>0.02</v>
      </c>
      <c r="B12" s="42">
        <f>$B$3*A12</f>
        <v/>
      </c>
      <c r="C12" s="19">
        <f>INT(B12/$B$4)</f>
        <v/>
      </c>
      <c r="D12" s="40">
        <f>C12*$B$4</f>
        <v/>
      </c>
      <c r="E12" s="39">
        <f>C12*$B$5</f>
        <v/>
      </c>
    </row>
    <row r="13">
      <c r="A13" s="20" t="n">
        <v>0.03</v>
      </c>
      <c r="B13" s="42">
        <f>$B$3*A13</f>
        <v/>
      </c>
      <c r="C13" s="19">
        <f>INT(B13/$B$4)</f>
        <v/>
      </c>
      <c r="D13" s="40">
        <f>C13*$B$4</f>
        <v/>
      </c>
      <c r="E13" s="39">
        <f>C13*$B$5</f>
        <v/>
      </c>
    </row>
    <row r="14" ht="40" customHeight="1">
      <c r="A14" s="10" t="inlineStr">
        <is>
          <t>The debit is the maximum loss for a long butterfly, so the sizing question is simply how much premium the account can write off. The maximum profit column assumes the underlying finishes exactly on the body strike, which the odds price at under three percent.</t>
        </is>
      </c>
    </row>
    <row r="16">
      <c r="A16" s="3" t="inlineStr">
        <is>
          <t>Where the result actually comes from</t>
        </is>
      </c>
    </row>
    <row r="17" ht="30" customHeight="1">
      <c r="A17" s="5" t="inlineStr">
        <is>
          <t>Outcome</t>
        </is>
      </c>
      <c r="B17" s="5" t="inlineStr">
        <is>
          <t>Probability</t>
        </is>
      </c>
      <c r="C17" s="5" t="inlineStr">
        <is>
          <t>Illustrative profit or loss</t>
        </is>
      </c>
      <c r="D17" s="5" t="inlineStr">
        <is>
          <t>Contribution</t>
        </is>
      </c>
    </row>
    <row r="18">
      <c r="A18" s="43" t="inlineStr">
        <is>
          <t>Finishes within $1 of the body</t>
        </is>
      </c>
      <c r="B18" s="20" t="n">
        <v>0.02678884510933943</v>
      </c>
      <c r="C18" s="39" t="n">
        <v>773.0158504358419</v>
      </c>
      <c r="D18" s="28" t="n">
        <v>20.70820188439006</v>
      </c>
    </row>
    <row r="19">
      <c r="A19" s="43" t="inlineStr">
        <is>
          <t>Finishes inside the profit zone but not near the body</t>
        </is>
      </c>
      <c r="B19" s="20" t="n">
        <v>0.2183273890846893</v>
      </c>
      <c r="C19" s="39" t="n">
        <v>214.7266251210672</v>
      </c>
      <c r="D19" s="28" t="n">
        <v>46.88070342964946</v>
      </c>
    </row>
    <row r="20">
      <c r="A20" s="43" t="inlineStr">
        <is>
          <t>Finishes outside the profit zone</t>
        </is>
      </c>
      <c r="B20" s="20" t="n">
        <v>0.7548837658059713</v>
      </c>
      <c r="C20" s="40" t="n">
        <v>-141.0934995157313</v>
      </c>
      <c r="D20" s="29" t="n">
        <v>-106.5091922451782</v>
      </c>
    </row>
    <row r="21" ht="34" customHeight="1">
      <c r="A21" s="10" t="inlineStr">
        <is>
          <t>The profit figures in this block are illustrative fractions of the maximum, not model output. The probabilities are the market's own. Use the block to see how heavily the result depends on the narrow band around the body strike.</t>
        </is>
      </c>
    </row>
    <row r="23">
      <c r="A23" s="3" t="inlineStr">
        <is>
          <t>MarketXLS Functions Used in This Sheet</t>
        </is>
      </c>
    </row>
    <row r="24">
      <c r="A24" s="9" t="inlineStr">
        <is>
          <t>=QM_Last($B$4)</t>
        </is>
      </c>
      <c r="B24" s="7" t="inlineStr">
        <is>
          <t>Underlying price for the sizing check</t>
        </is>
      </c>
    </row>
    <row r="25">
      <c r="A25" s="9" t="inlineStr">
        <is>
          <t>=AverageDailyVolume($B$4)</t>
        </is>
      </c>
      <c r="B25" s="7" t="inlineStr">
        <is>
          <t>Liquidity of the underlying</t>
        </is>
      </c>
    </row>
    <row r="26">
      <c r="A26" s="9" t="inlineStr">
        <is>
          <t>=QM_OpenInterest(optionSymbol)</t>
        </is>
      </c>
      <c r="B26" s="7" t="inlineStr">
        <is>
          <t>Open interest on each leg</t>
        </is>
      </c>
    </row>
    <row r="27">
      <c r="A27" s="9" t="inlineStr">
        <is>
          <t>=earnings_date($B$4)</t>
        </is>
      </c>
      <c r="B27" s="7" t="inlineStr">
        <is>
          <t>Earnings date, an event risk check before sizing up</t>
        </is>
      </c>
    </row>
    <row r="28">
      <c r="A28" s="10" t="inlineStr">
        <is>
          <t>These are live MarketXLS formulas and they drive every value on this sheet.</t>
        </is>
      </c>
    </row>
    <row r="30">
      <c r="A30" s="11" t="inlineStr">
        <is>
          <t>Powered by MarketXLS   |   https://marketxls.com   |   Book a demo: https://marketxls.com/book-demo</t>
        </is>
      </c>
    </row>
  </sheetData>
  <mergeCells count="12">
    <mergeCell ref="A16:F16"/>
    <mergeCell ref="A30:F30"/>
    <mergeCell ref="A28:F28"/>
    <mergeCell ref="B24:F24"/>
    <mergeCell ref="A14:F14"/>
    <mergeCell ref="A1:F1"/>
    <mergeCell ref="A23:F23"/>
    <mergeCell ref="B25:F25"/>
    <mergeCell ref="A21:F21"/>
    <mergeCell ref="B26:F26"/>
    <mergeCell ref="B27:F27"/>
    <mergeCell ref="A7:F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71"/>
  <sheetViews>
    <sheetView workbookViewId="0">
      <pane ySplit="6" topLeftCell="A7" activePane="bottomLeft" state="frozen"/>
      <selection pane="bottomLeft" activeCell="A1" sqref="A1"/>
    </sheetView>
  </sheetViews>
  <sheetFormatPr baseColWidth="8" defaultRowHeight="15"/>
  <cols>
    <col width="14" customWidth="1" min="1" max="1"/>
    <col width="16" customWidth="1" min="2" max="2"/>
    <col width="18" customWidth="1" min="3" max="3"/>
    <col width="20" customWidth="1" min="4" max="4"/>
    <col width="20" customWidth="1" min="5" max="5"/>
    <col width="12" customWidth="1" min="6" max="6"/>
    <col width="22" customWidth="1" min="7" max="7"/>
    <col width="30" customWidth="1" min="8" max="8"/>
  </cols>
  <sheetData>
    <row r="1" ht="26" customHeight="1">
      <c r="A1" s="1" t="inlineStr">
        <is>
          <t>Implied Density - the butterfly price is a probability</t>
        </is>
      </c>
    </row>
    <row r="3" ht="46" customHeight="1">
      <c r="A3" s="10" t="inlineStr">
        <is>
          <t>A butterfly is the second difference of the call price across three equally spaced strikes. Divide its price by the square of the wing width and by the discount factor, and the result is the market's own probability density at the body strike. Multiply by the wing width to get the probability of finishing inside that bucket.</t>
        </is>
      </c>
    </row>
    <row r="5">
      <c r="A5" s="3" t="inlineStr">
        <is>
          <t>Butterfly price converted to probability, wing width 10</t>
        </is>
      </c>
    </row>
    <row r="6" ht="30" customHeight="1">
      <c r="A6" s="5" t="inlineStr">
        <is>
          <t>Body strike</t>
        </is>
      </c>
      <c r="B6" s="5" t="inlineStr">
        <is>
          <t>Butterfly price</t>
        </is>
      </c>
      <c r="C6" s="5" t="inlineStr">
        <is>
          <t>Market density</t>
        </is>
      </c>
      <c r="D6" s="5" t="inlineStr">
        <is>
          <t>One volatility density</t>
        </is>
      </c>
      <c r="E6" s="5" t="inlineStr">
        <is>
          <t>Ratio</t>
        </is>
      </c>
      <c r="F6" s="5" t="inlineStr">
        <is>
          <t>Probability within half a wing</t>
        </is>
      </c>
      <c r="G6" s="5" t="inlineStr">
        <is>
          <t>Reading</t>
        </is>
      </c>
    </row>
    <row r="7">
      <c r="A7" s="18" t="n">
        <v>655</v>
      </c>
      <c r="B7" s="33" t="n">
        <v>0.9999999999990905</v>
      </c>
      <c r="C7" s="44" t="n">
        <v>0.0001003449717471996</v>
      </c>
      <c r="D7" s="44" t="n">
        <v>7.293707022139656e-07</v>
      </c>
      <c r="E7" s="45" t="n">
        <v>137.5774643025938</v>
      </c>
      <c r="F7" s="24" t="n">
        <v>0.001003449717471997</v>
      </c>
      <c r="G7" s="27" t="inlineStr">
        <is>
          <t>Market prices more probability here</t>
        </is>
      </c>
    </row>
    <row r="8">
      <c r="A8" s="18" t="n">
        <v>660</v>
      </c>
      <c r="B8" s="33" t="n">
        <v>3.000000000000114</v>
      </c>
      <c r="C8" s="44" t="n">
        <v>0.0003010349152418841</v>
      </c>
      <c r="D8" s="44" t="n">
        <v>1.725508294271734e-06</v>
      </c>
      <c r="E8" s="45" t="n">
        <v>174.4615869081861</v>
      </c>
      <c r="F8" s="24" t="n">
        <v>0.003010349152418841</v>
      </c>
      <c r="G8" s="27" t="inlineStr">
        <is>
          <t>Market prices more probability here</t>
        </is>
      </c>
    </row>
    <row r="9">
      <c r="A9" s="18" t="n">
        <v>665</v>
      </c>
      <c r="B9" s="33" t="n">
        <v>3.000000000000114</v>
      </c>
      <c r="C9" s="44" t="n">
        <v>0.0003010349152418841</v>
      </c>
      <c r="D9" s="44" t="n">
        <v>3.900326246636856e-06</v>
      </c>
      <c r="E9" s="45" t="n">
        <v>77.18198330241174</v>
      </c>
      <c r="F9" s="24" t="n">
        <v>0.003010349152418841</v>
      </c>
      <c r="G9" s="27" t="inlineStr">
        <is>
          <t>Market prices more probability here</t>
        </is>
      </c>
    </row>
    <row r="10">
      <c r="A10" s="18" t="n">
        <v>670</v>
      </c>
      <c r="B10" s="33" t="n">
        <v>1.499999999998636</v>
      </c>
      <c r="C10" s="44" t="n">
        <v>0.0001505174576207995</v>
      </c>
      <c r="D10" s="44" t="n">
        <v>8.431851689264432e-06</v>
      </c>
      <c r="E10" s="45" t="n">
        <v>17.85105611053865</v>
      </c>
      <c r="F10" s="24" t="n">
        <v>0.001505174576207995</v>
      </c>
      <c r="G10" s="27" t="inlineStr">
        <is>
          <t>Market prices more probability here</t>
        </is>
      </c>
    </row>
    <row r="11">
      <c r="A11" s="18" t="n">
        <v>675</v>
      </c>
      <c r="B11" s="33" t="n">
        <v>1.999999999998181</v>
      </c>
      <c r="C11" s="44" t="n">
        <v>0.0002006899434943993</v>
      </c>
      <c r="D11" s="44" t="n">
        <v>1.744997475412059e-05</v>
      </c>
      <c r="E11" s="45" t="n">
        <v>11.50087299965915</v>
      </c>
      <c r="F11" s="24" t="n">
        <v>0.002006899434943993</v>
      </c>
      <c r="G11" s="27" t="inlineStr">
        <is>
          <t>Market prices more probability here</t>
        </is>
      </c>
    </row>
    <row r="12">
      <c r="A12" s="18" t="n">
        <v>680</v>
      </c>
      <c r="B12" s="33" t="n">
        <v>3.50000000000108</v>
      </c>
      <c r="C12" s="44" t="n">
        <v>0.0003512074011156265</v>
      </c>
      <c r="D12" s="44" t="n">
        <v>3.460327577389646e-05</v>
      </c>
      <c r="E12" s="45" t="n">
        <v>10.14954200898418</v>
      </c>
      <c r="F12" s="24" t="n">
        <v>0.003512074011156265</v>
      </c>
      <c r="G12" s="27" t="inlineStr">
        <is>
          <t>Market prices more probability here</t>
        </is>
      </c>
    </row>
    <row r="13">
      <c r="A13" s="18" t="n">
        <v>685</v>
      </c>
      <c r="B13" s="33" t="n">
        <v>4.500000000001592</v>
      </c>
      <c r="C13" s="44" t="n">
        <v>0.0004515523728629688</v>
      </c>
      <c r="D13" s="44" t="n">
        <v>6.580825324876983e-05</v>
      </c>
      <c r="E13" s="45" t="n">
        <v>6.861637417361624</v>
      </c>
      <c r="F13" s="24" t="n">
        <v>0.004515523728629687</v>
      </c>
      <c r="G13" s="27" t="inlineStr">
        <is>
          <t>Market prices more probability here</t>
        </is>
      </c>
    </row>
    <row r="14">
      <c r="A14" s="18" t="n">
        <v>690</v>
      </c>
      <c r="B14" s="33" t="n">
        <v>5.500000000000682</v>
      </c>
      <c r="C14" s="44" t="n">
        <v>0.0005518973446101685</v>
      </c>
      <c r="D14" s="44" t="n">
        <v>0.0001201335178387137</v>
      </c>
      <c r="E14" s="45" t="n">
        <v>4.594032993782162</v>
      </c>
      <c r="F14" s="24" t="n">
        <v>0.005518973446101685</v>
      </c>
      <c r="G14" s="27" t="inlineStr">
        <is>
          <t>Market prices more probability here</t>
        </is>
      </c>
    </row>
    <row r="15">
      <c r="A15" s="18" t="n">
        <v>695</v>
      </c>
      <c r="B15" s="33" t="n">
        <v>6.000000000000227</v>
      </c>
      <c r="C15" s="44" t="n">
        <v>0.0006020698304837682</v>
      </c>
      <c r="D15" s="44" t="n">
        <v>0.0002106874923448104</v>
      </c>
      <c r="E15" s="45" t="n">
        <v>2.85764391508549</v>
      </c>
      <c r="F15" s="24" t="n">
        <v>0.006020698304837683</v>
      </c>
      <c r="G15" s="27" t="inlineStr">
        <is>
          <t>Market prices more probability here</t>
        </is>
      </c>
    </row>
    <row r="16">
      <c r="A16" s="18" t="n">
        <v>700</v>
      </c>
      <c r="B16" s="33" t="n">
        <v>6.499999999999773</v>
      </c>
      <c r="C16" s="44" t="n">
        <v>0.0006522423163573681</v>
      </c>
      <c r="D16" s="44" t="n">
        <v>0.0003552748886005532</v>
      </c>
      <c r="E16" s="45" t="n">
        <v>1.835880714582968</v>
      </c>
      <c r="F16" s="24" t="n">
        <v>0.006522423163573681</v>
      </c>
      <c r="G16" s="27" t="inlineStr">
        <is>
          <t>Market prices more probability here</t>
        </is>
      </c>
    </row>
    <row r="17">
      <c r="A17" s="18" t="n">
        <v>705</v>
      </c>
      <c r="B17" s="33" t="n">
        <v>8.499999999999375</v>
      </c>
      <c r="C17" s="44" t="n">
        <v>0.00085293225985191</v>
      </c>
      <c r="D17" s="44" t="n">
        <v>0.000576491181730877</v>
      </c>
      <c r="E17" s="45" t="n">
        <v>1.479523515504672</v>
      </c>
      <c r="F17" s="24" t="n">
        <v>0.0085293225985191</v>
      </c>
      <c r="G17" s="27" t="inlineStr">
        <is>
          <t>Market prices more probability here</t>
        </is>
      </c>
    </row>
    <row r="18">
      <c r="A18" s="18" t="n">
        <v>710</v>
      </c>
      <c r="B18" s="33" t="n">
        <v>11.49999999999949</v>
      </c>
      <c r="C18" s="44" t="n">
        <v>0.001153967175093794</v>
      </c>
      <c r="D18" s="44" t="n">
        <v>0.0009008768974104568</v>
      </c>
      <c r="E18" s="45" t="n">
        <v>1.280937693497122</v>
      </c>
      <c r="F18" s="24" t="n">
        <v>0.01153967175093794</v>
      </c>
      <c r="G18" s="27" t="inlineStr">
        <is>
          <t>Market prices more probability here</t>
        </is>
      </c>
    </row>
    <row r="19">
      <c r="A19" s="18" t="n">
        <v>715</v>
      </c>
      <c r="B19" s="33" t="n">
        <v>13.4999999999998</v>
      </c>
      <c r="C19" s="44" t="n">
        <v>0.001354657118588407</v>
      </c>
      <c r="D19" s="44" t="n">
        <v>0.001356801738120926</v>
      </c>
      <c r="E19" s="46" t="n">
        <v>0.9984193567326288</v>
      </c>
      <c r="F19" s="24" t="n">
        <v>0.01354657118588407</v>
      </c>
      <c r="G19" s="27" t="inlineStr">
        <is>
          <t>Close to the one volatility model</t>
        </is>
      </c>
    </row>
    <row r="20">
      <c r="A20" s="18" t="n">
        <v>720</v>
      </c>
      <c r="B20" s="33" t="n">
        <v>15.50000000000011</v>
      </c>
      <c r="C20" s="44" t="n">
        <v>0.00155534706208302</v>
      </c>
      <c r="D20" s="44" t="n">
        <v>0.001970927328275781</v>
      </c>
      <c r="E20" s="47" t="n">
        <v>0.7891448049703988</v>
      </c>
      <c r="F20" s="24" t="n">
        <v>0.0155534706208302</v>
      </c>
      <c r="G20" s="27" t="inlineStr">
        <is>
          <t>Market prices less probability here</t>
        </is>
      </c>
    </row>
    <row r="21">
      <c r="A21" s="18" t="n">
        <v>725</v>
      </c>
      <c r="B21" s="33" t="n">
        <v>20.49999999999983</v>
      </c>
      <c r="C21" s="44" t="n">
        <v>0.002057071920819446</v>
      </c>
      <c r="D21" s="44" t="n">
        <v>0.002763408403960943</v>
      </c>
      <c r="E21" s="47" t="n">
        <v>0.7443966363679484</v>
      </c>
      <c r="F21" s="24" t="n">
        <v>0.02057071920819446</v>
      </c>
      <c r="G21" s="27" t="inlineStr">
        <is>
          <t>Market prices less probability here</t>
        </is>
      </c>
    </row>
    <row r="22">
      <c r="A22" s="18" t="n">
        <v>730</v>
      </c>
      <c r="B22" s="33" t="n">
        <v>25</v>
      </c>
      <c r="C22" s="44" t="n">
        <v>0.002508624293682273</v>
      </c>
      <c r="D22" s="44" t="n">
        <v>0.003742388259680432</v>
      </c>
      <c r="E22" s="47" t="n">
        <v>0.6703271065457242</v>
      </c>
      <c r="F22" s="24" t="n">
        <v>0.02508624293682273</v>
      </c>
      <c r="G22" s="27" t="inlineStr">
        <is>
          <t>Market prices less probability here</t>
        </is>
      </c>
    </row>
    <row r="23">
      <c r="A23" s="18" t="n">
        <v>735</v>
      </c>
      <c r="B23" s="33" t="n">
        <v>29.50000000000088</v>
      </c>
      <c r="C23" s="44" t="n">
        <v>0.00296017666654517</v>
      </c>
      <c r="D23" s="44" t="n">
        <v>0.004898727936402249</v>
      </c>
      <c r="E23" s="47" t="n">
        <v>0.6042745596358223</v>
      </c>
      <c r="F23" s="24" t="n">
        <v>0.0296017666654517</v>
      </c>
      <c r="G23" s="27" t="inlineStr">
        <is>
          <t>Market prices less probability here</t>
        </is>
      </c>
    </row>
    <row r="24">
      <c r="A24" s="18" t="n">
        <v>740</v>
      </c>
      <c r="B24" s="33" t="n">
        <v>38.50000000000051</v>
      </c>
      <c r="C24" s="44" t="n">
        <v>0.003863281412270751</v>
      </c>
      <c r="D24" s="44" t="n">
        <v>0.006202153223937868</v>
      </c>
      <c r="E24" s="47" t="n">
        <v>0.6228935778884028</v>
      </c>
      <c r="F24" s="24" t="n">
        <v>0.03863281412270751</v>
      </c>
      <c r="G24" s="27" t="inlineStr">
        <is>
          <t>Market prices less probability here</t>
        </is>
      </c>
    </row>
    <row r="25">
      <c r="A25" s="18" t="n">
        <v>745</v>
      </c>
      <c r="B25" s="33" t="n">
        <v>47.99999999999933</v>
      </c>
      <c r="C25" s="44" t="n">
        <v>0.004816558643869896</v>
      </c>
      <c r="D25" s="44" t="n">
        <v>0.007599992073988626</v>
      </c>
      <c r="E25" s="47" t="n">
        <v>0.6337583772428951</v>
      </c>
      <c r="F25" s="24" t="n">
        <v>0.04816558643869896</v>
      </c>
      <c r="G25" s="27" t="inlineStr">
        <is>
          <t>Market prices less probability here</t>
        </is>
      </c>
    </row>
    <row r="26">
      <c r="A26" s="18" t="n">
        <v>750</v>
      </c>
      <c r="B26" s="33" t="n">
        <v>59.49999999999953</v>
      </c>
      <c r="C26" s="44" t="n">
        <v>0.005970525818963761</v>
      </c>
      <c r="D26" s="44" t="n">
        <v>0.009019346469956738</v>
      </c>
      <c r="E26" s="47" t="n">
        <v>0.6619687844181907</v>
      </c>
      <c r="F26" s="24" t="n">
        <v>0.05970525818963762</v>
      </c>
      <c r="G26" s="27" t="inlineStr">
        <is>
          <t>Market prices less probability here</t>
        </is>
      </c>
    </row>
    <row r="27">
      <c r="A27" s="18" t="n">
        <v>755</v>
      </c>
      <c r="B27" s="33" t="n">
        <v>75</v>
      </c>
      <c r="C27" s="44" t="n">
        <v>0.007525872881046817</v>
      </c>
      <c r="D27" s="44" t="n">
        <v>0.01037292696340307</v>
      </c>
      <c r="E27" s="47" t="n">
        <v>0.7255303066915443</v>
      </c>
      <c r="F27" s="24" t="n">
        <v>0.07525872881046818</v>
      </c>
      <c r="G27" s="27" t="inlineStr">
        <is>
          <t>Market prices less probability here</t>
        </is>
      </c>
    </row>
    <row r="28">
      <c r="A28" s="18" t="n">
        <v>760</v>
      </c>
      <c r="B28" s="33" t="n">
        <v>92.00000000000017</v>
      </c>
      <c r="C28" s="44" t="n">
        <v>0.00923173740075078</v>
      </c>
      <c r="D28" s="44" t="n">
        <v>0.01156800205968589</v>
      </c>
      <c r="E28" s="47" t="n">
        <v>0.798040781210014</v>
      </c>
      <c r="F28" s="24" t="n">
        <v>0.09231737400750781</v>
      </c>
      <c r="G28" s="27" t="inlineStr">
        <is>
          <t>Market prices less probability here</t>
        </is>
      </c>
    </row>
    <row r="29">
      <c r="A29" s="18" t="n">
        <v>765</v>
      </c>
      <c r="B29" s="33" t="n">
        <v>112.0000000000005</v>
      </c>
      <c r="C29" s="44" t="n">
        <v>0.01123863683569663</v>
      </c>
      <c r="D29" s="44" t="n">
        <v>0.01251717368855361</v>
      </c>
      <c r="E29" s="47" t="n">
        <v>0.8978573850080748</v>
      </c>
      <c r="F29" s="24" t="n">
        <v>0.1123863683569663</v>
      </c>
      <c r="G29" s="27" t="inlineStr">
        <is>
          <t>Market prices less probability here</t>
        </is>
      </c>
    </row>
    <row r="30">
      <c r="A30" s="18" t="n">
        <v>770</v>
      </c>
      <c r="B30" s="33" t="n">
        <v>120.7810710826676</v>
      </c>
      <c r="C30" s="44" t="n">
        <v>0.01211977316539781</v>
      </c>
      <c r="D30" s="44" t="n">
        <v>0.0131491898585016</v>
      </c>
      <c r="E30" s="46" t="n">
        <v>0.9217125386292743</v>
      </c>
      <c r="F30" s="24" t="n">
        <v>0.1211977316539781</v>
      </c>
      <c r="G30" s="27" t="inlineStr">
        <is>
          <t>Market prices less probability here</t>
        </is>
      </c>
    </row>
    <row r="31">
      <c r="A31" s="18" t="n">
        <v>775</v>
      </c>
      <c r="B31" s="33" t="n">
        <v>126.0621421653337</v>
      </c>
      <c r="C31" s="44" t="n">
        <v>0.01264970209398338</v>
      </c>
      <c r="D31" s="44" t="n">
        <v>0.01341789593978236</v>
      </c>
      <c r="E31" s="46" t="n">
        <v>0.9427485613805231</v>
      </c>
      <c r="F31" s="24" t="n">
        <v>0.1264970209398338</v>
      </c>
      <c r="G31" s="27" t="inlineStr">
        <is>
          <t>Market prices less probability here</t>
        </is>
      </c>
    </row>
    <row r="32">
      <c r="A32" s="18" t="n">
        <v>780</v>
      </c>
      <c r="B32" s="33" t="n">
        <v>149.7810710826649</v>
      </c>
      <c r="C32" s="44" t="n">
        <v>0.01502977734606897</v>
      </c>
      <c r="D32" s="44" t="n">
        <v>0.01330774990103474</v>
      </c>
      <c r="E32" s="46" t="n">
        <v>1.1294003462524</v>
      </c>
      <c r="F32" s="24" t="n">
        <v>0.1502977734606898</v>
      </c>
      <c r="G32" s="27" t="inlineStr">
        <is>
          <t>Market prices more probability here</t>
        </is>
      </c>
    </row>
    <row r="33">
      <c r="A33" s="18" t="n">
        <v>785</v>
      </c>
      <c r="B33" s="33" t="n">
        <v>164.4999999999985</v>
      </c>
      <c r="C33" s="44" t="n">
        <v>0.01650674785242921</v>
      </c>
      <c r="D33" s="44" t="n">
        <v>0.01283500528426455</v>
      </c>
      <c r="E33" s="45" t="n">
        <v>1.286072540434879</v>
      </c>
      <c r="F33" s="24" t="n">
        <v>0.165067478524292</v>
      </c>
      <c r="G33" s="27" t="inlineStr">
        <is>
          <t>Market prices more probability here</t>
        </is>
      </c>
    </row>
    <row r="34">
      <c r="A34" s="18" t="n">
        <v>790</v>
      </c>
      <c r="B34" s="33" t="n">
        <v>159</v>
      </c>
      <c r="C34" s="44" t="n">
        <v>0.01595485050781926</v>
      </c>
      <c r="D34" s="44" t="n">
        <v>0.01204452315812908</v>
      </c>
      <c r="E34" s="45" t="n">
        <v>1.324656053075129</v>
      </c>
      <c r="F34" s="24" t="n">
        <v>0.1595485050781926</v>
      </c>
      <c r="G34" s="27" t="inlineStr">
        <is>
          <t>Market prices more probability here</t>
        </is>
      </c>
    </row>
    <row r="35">
      <c r="A35" s="18" t="n">
        <v>795</v>
      </c>
      <c r="B35" s="33" t="n">
        <v>148.5000000000001</v>
      </c>
      <c r="C35" s="44" t="n">
        <v>0.01490122830447271</v>
      </c>
      <c r="D35" s="44" t="n">
        <v>0.01100299452246987</v>
      </c>
      <c r="E35" s="45" t="n">
        <v>1.354288441573067</v>
      </c>
      <c r="F35" s="24" t="n">
        <v>0.1490122830447271</v>
      </c>
      <c r="G35" s="27" t="inlineStr">
        <is>
          <t>Market prices more probability here</t>
        </is>
      </c>
    </row>
    <row r="36">
      <c r="A36" s="18" t="n">
        <v>800</v>
      </c>
      <c r="B36" s="33" t="n">
        <v>131.5</v>
      </c>
      <c r="C36" s="44" t="n">
        <v>0.01319536378476876</v>
      </c>
      <c r="D36" s="44" t="n">
        <v>0.009789946346509149</v>
      </c>
      <c r="E36" s="45" t="n">
        <v>1.347848427123801</v>
      </c>
      <c r="F36" s="24" t="n">
        <v>0.1319536378476876</v>
      </c>
      <c r="G36" s="27" t="inlineStr">
        <is>
          <t>Market prices more probability here</t>
        </is>
      </c>
    </row>
    <row r="37">
      <c r="A37" s="18" t="n">
        <v>805</v>
      </c>
      <c r="B37" s="33" t="n">
        <v>110</v>
      </c>
      <c r="C37" s="44" t="n">
        <v>0.011037946892202</v>
      </c>
      <c r="D37" s="44" t="n">
        <v>0.008488153383225158</v>
      </c>
      <c r="E37" s="45" t="n">
        <v>1.300394372469271</v>
      </c>
      <c r="F37" s="24" t="n">
        <v>0.11037946892202</v>
      </c>
      <c r="G37" s="27" t="inlineStr">
        <is>
          <t>Market prices more probability here</t>
        </is>
      </c>
    </row>
    <row r="38">
      <c r="A38" s="18" t="n">
        <v>810</v>
      </c>
      <c r="B38" s="33" t="n">
        <v>87.00000000000001</v>
      </c>
      <c r="C38" s="44" t="n">
        <v>0.008730012542014311</v>
      </c>
      <c r="D38" s="44" t="n">
        <v>0.007174969900377874</v>
      </c>
      <c r="E38" s="45" t="n">
        <v>1.216731590965216</v>
      </c>
      <c r="F38" s="24" t="n">
        <v>0.08730012542014311</v>
      </c>
      <c r="G38" s="27" t="inlineStr">
        <is>
          <t>Market prices more probability here</t>
        </is>
      </c>
    </row>
    <row r="39">
      <c r="A39" s="18" t="n">
        <v>815</v>
      </c>
      <c r="B39" s="33" t="n">
        <v>64.49999999999999</v>
      </c>
      <c r="C39" s="44" t="n">
        <v>0.006472250677700262</v>
      </c>
      <c r="D39" s="44" t="n">
        <v>0.00591570638809397</v>
      </c>
      <c r="E39" s="46" t="n">
        <v>1.094079092688981</v>
      </c>
      <c r="F39" s="24" t="n">
        <v>0.06472250677700261</v>
      </c>
      <c r="G39" s="27" t="inlineStr">
        <is>
          <t>Market prices more probability here</t>
        </is>
      </c>
    </row>
    <row r="40">
      <c r="A40" s="18" t="n">
        <v>820</v>
      </c>
      <c r="B40" s="33" t="n">
        <v>45.49999999999999</v>
      </c>
      <c r="C40" s="44" t="n">
        <v>0.004565696214501736</v>
      </c>
      <c r="D40" s="44" t="n">
        <v>0.004759637494934543</v>
      </c>
      <c r="E40" s="46" t="n">
        <v>0.9592529303672371</v>
      </c>
      <c r="F40" s="24" t="n">
        <v>0.04565696214501736</v>
      </c>
      <c r="G40" s="27" t="inlineStr">
        <is>
          <t>Close to the one volatility model</t>
        </is>
      </c>
    </row>
    <row r="41">
      <c r="A41" s="18" t="n">
        <v>825</v>
      </c>
      <c r="B41" s="33" t="n">
        <v>30.49999999999999</v>
      </c>
      <c r="C41" s="44" t="n">
        <v>0.003060521638292372</v>
      </c>
      <c r="D41" s="44" t="n">
        <v>0.003738681417962887</v>
      </c>
      <c r="E41" s="47" t="n">
        <v>0.8186099044405803</v>
      </c>
      <c r="F41" s="24" t="n">
        <v>0.03060521638292372</v>
      </c>
      <c r="G41" s="27" t="inlineStr">
        <is>
          <t>Market prices less probability here</t>
        </is>
      </c>
    </row>
    <row r="42">
      <c r="A42" s="18" t="n">
        <v>830</v>
      </c>
      <c r="B42" s="33" t="n">
        <v>19</v>
      </c>
      <c r="C42" s="44" t="n">
        <v>0.001906554463198527</v>
      </c>
      <c r="D42" s="44" t="n">
        <v>0.002868352739722036</v>
      </c>
      <c r="E42" s="47" t="n">
        <v>0.6646861931574308</v>
      </c>
      <c r="F42" s="24" t="n">
        <v>0.01906554463198527</v>
      </c>
      <c r="G42" s="27" t="inlineStr">
        <is>
          <t>Market prices less probability here</t>
        </is>
      </c>
    </row>
    <row r="43">
      <c r="A43" s="18" t="n">
        <v>835</v>
      </c>
      <c r="B43" s="33" t="n">
        <v>12</v>
      </c>
      <c r="C43" s="44" t="n">
        <v>0.001204139660967491</v>
      </c>
      <c r="D43" s="44" t="n">
        <v>0.002150325066445165</v>
      </c>
      <c r="E43" s="47" t="n">
        <v>0.5599802930996512</v>
      </c>
      <c r="F43" s="24" t="n">
        <v>0.01204139660967491</v>
      </c>
      <c r="G43" s="27" t="inlineStr">
        <is>
          <t>Market prices less probability here</t>
        </is>
      </c>
    </row>
    <row r="44">
      <c r="A44" s="18" t="n">
        <v>840</v>
      </c>
      <c r="B44" s="33" t="n">
        <v>7.999999999999999</v>
      </c>
      <c r="C44" s="44" t="n">
        <v>0.0008027597739783272</v>
      </c>
      <c r="D44" s="44" t="n">
        <v>0.001575857491552315</v>
      </c>
      <c r="E44" s="47" t="n">
        <v>0.5094114019076434</v>
      </c>
      <c r="F44" s="24" t="n">
        <v>0.008027597739783272</v>
      </c>
      <c r="G44" s="27" t="inlineStr">
        <is>
          <t>Market prices less probability here</t>
        </is>
      </c>
    </row>
    <row r="45">
      <c r="A45" s="18" t="n">
        <v>845</v>
      </c>
      <c r="B45" s="33" t="n">
        <v>4.000000000000001</v>
      </c>
      <c r="C45" s="44" t="n">
        <v>0.0004013798869891637</v>
      </c>
      <c r="D45" s="44" t="n">
        <v>0.001129407851061273</v>
      </c>
      <c r="E45" s="47" t="n">
        <v>0.3553896731034749</v>
      </c>
      <c r="F45" s="24" t="n">
        <v>0.004013798869891637</v>
      </c>
      <c r="G45" s="27" t="inlineStr">
        <is>
          <t>Market prices less probability here</t>
        </is>
      </c>
    </row>
    <row r="46">
      <c r="A46" s="18" t="n">
        <v>850</v>
      </c>
      <c r="B46" s="33" t="n">
        <v>3</v>
      </c>
      <c r="C46" s="44" t="n">
        <v>0.0003010349152418727</v>
      </c>
      <c r="D46" s="44" t="n">
        <v>0.0007919204486363839</v>
      </c>
      <c r="E46" s="47" t="n">
        <v>0.3801327718715028</v>
      </c>
      <c r="F46" s="24" t="n">
        <v>0.003010349152418727</v>
      </c>
      <c r="G46" s="27" t="inlineStr">
        <is>
          <t>Market prices less probability here</t>
        </is>
      </c>
    </row>
    <row r="47">
      <c r="A47" s="18" t="n">
        <v>855</v>
      </c>
      <c r="B47" s="33" t="n">
        <v>2.999999999999998</v>
      </c>
      <c r="C47" s="44" t="n">
        <v>0.0003010349152418725</v>
      </c>
      <c r="D47" s="44" t="n">
        <v>0.0005434770940372704</v>
      </c>
      <c r="E47" s="47" t="n">
        <v>0.5539054332641813</v>
      </c>
      <c r="F47" s="24" t="n">
        <v>0.003010349152418725</v>
      </c>
      <c r="G47" s="27" t="inlineStr">
        <is>
          <t>Market prices less probability here</t>
        </is>
      </c>
    </row>
    <row r="48">
      <c r="A48" s="18" t="n">
        <v>860</v>
      </c>
      <c r="B48" s="33" t="n">
        <v>0.9999999999999996</v>
      </c>
      <c r="C48" s="44" t="n">
        <v>0.0001003449717472909</v>
      </c>
      <c r="D48" s="44" t="n">
        <v>0.0003651894223963201</v>
      </c>
      <c r="E48" s="47" t="n">
        <v>0.2747751320091411</v>
      </c>
      <c r="F48" s="24" t="n">
        <v>0.001003449717472909</v>
      </c>
      <c r="G48" s="27" t="inlineStr">
        <is>
          <t>Market prices less probability here</t>
        </is>
      </c>
    </row>
    <row r="49">
      <c r="A49" s="18" t="n">
        <v>865</v>
      </c>
      <c r="B49" s="33" t="n">
        <v>1.387778780781446e-15</v>
      </c>
      <c r="C49" s="44" t="n">
        <v>1.39256622549004e-19</v>
      </c>
      <c r="D49" s="44" t="n">
        <v>0.0002403571817921318</v>
      </c>
      <c r="E49" s="47" t="n">
        <v>5.793736700966869e-16</v>
      </c>
      <c r="F49" s="24" t="n">
        <v>1.39256622549004e-18</v>
      </c>
      <c r="G49" s="27" t="inlineStr">
        <is>
          <t>Market prices less probability here</t>
        </is>
      </c>
    </row>
    <row r="50">
      <c r="A50" s="18" t="n">
        <v>870</v>
      </c>
      <c r="B50" s="33" t="n">
        <v>1.000000000000001</v>
      </c>
      <c r="C50" s="44" t="n">
        <v>0.000100344971747291</v>
      </c>
      <c r="D50" s="44" t="n">
        <v>0.0001550098067260175</v>
      </c>
      <c r="E50" s="47" t="n">
        <v>0.6473459574377282</v>
      </c>
      <c r="F50" s="24" t="n">
        <v>0.00100344971747291</v>
      </c>
      <c r="G50" s="27" t="inlineStr">
        <is>
          <t>Market prices less probability here</t>
        </is>
      </c>
    </row>
    <row r="51">
      <c r="A51" s="18" t="n">
        <v>875</v>
      </c>
      <c r="B51" s="33" t="n">
        <v>0.9999999999999996</v>
      </c>
      <c r="C51" s="44" t="n">
        <v>0.0001003449717472909</v>
      </c>
      <c r="D51" s="44" t="n">
        <v>9.799009223884836e-05</v>
      </c>
      <c r="E51" s="46" t="n">
        <v>1.024031812345911</v>
      </c>
      <c r="F51" s="24" t="n">
        <v>0.001003449717472909</v>
      </c>
      <c r="G51" s="27" t="inlineStr">
        <is>
          <t>Close to the one volatility model</t>
        </is>
      </c>
    </row>
    <row r="52">
      <c r="A52" s="18" t="n">
        <v>885</v>
      </c>
      <c r="B52" s="33" t="n">
        <v>1</v>
      </c>
      <c r="C52" s="44" t="n">
        <v>0.0001003449717472909</v>
      </c>
      <c r="D52" s="44" t="n">
        <v>3.693221473015653e-05</v>
      </c>
      <c r="E52" s="45" t="n">
        <v>2.7170039078473</v>
      </c>
      <c r="F52" s="24" t="n">
        <v>0.001003449717472909</v>
      </c>
      <c r="G52" s="27" t="inlineStr">
        <is>
          <t>Market prices more probability here</t>
        </is>
      </c>
    </row>
    <row r="53">
      <c r="A53" s="18" t="n">
        <v>890</v>
      </c>
      <c r="B53" s="33" t="n">
        <v>1</v>
      </c>
      <c r="C53" s="44" t="n">
        <v>0.0001003449717472909</v>
      </c>
      <c r="D53" s="44" t="n">
        <v>2.203457712264293e-05</v>
      </c>
      <c r="E53" s="45" t="n">
        <v>4.553977650162186</v>
      </c>
      <c r="F53" s="24" t="n">
        <v>0.001003449717472909</v>
      </c>
      <c r="G53" s="27" t="inlineStr">
        <is>
          <t>Market prices more probability here</t>
        </is>
      </c>
    </row>
    <row r="54">
      <c r="A54" s="18" t="n">
        <v>905</v>
      </c>
      <c r="B54" s="33" t="n">
        <v>1</v>
      </c>
      <c r="C54" s="44" t="n">
        <v>0.0001003449717472909</v>
      </c>
      <c r="D54" s="44" t="n">
        <v>4.190676431665795e-06</v>
      </c>
      <c r="E54" s="45" t="n">
        <v>23.94481496807039</v>
      </c>
      <c r="F54" s="24" t="n">
        <v>0.001003449717472909</v>
      </c>
      <c r="G54" s="27" t="inlineStr">
        <is>
          <t>Market prices more probability here</t>
        </is>
      </c>
    </row>
    <row r="55" ht="34" customHeight="1">
      <c r="A55" s="10" t="inlineStr">
        <is>
          <t>Read down the ratio column. The market's distribution peaks above the forward and carries a long left tail, which is the shape the volatility smile encodes. A single volatility model puts its peak at the forward and cannot produce that shape at all.</t>
        </is>
      </c>
    </row>
    <row r="57">
      <c r="A57" s="3" t="inlineStr">
        <is>
          <t>Validation</t>
        </is>
      </c>
    </row>
    <row r="58" ht="30" customHeight="1">
      <c r="A58" s="5" t="inlineStr">
        <is>
          <t>Check</t>
        </is>
      </c>
      <c r="B58" s="5" t="inlineStr">
        <is>
          <t>Result</t>
        </is>
      </c>
      <c r="C58" s="5" t="inlineStr">
        <is>
          <t>What it proves</t>
        </is>
      </c>
    </row>
    <row r="59" ht="40" customHeight="1">
      <c r="A59" s="43" t="inlineStr">
        <is>
          <t>Density integrates to</t>
        </is>
      </c>
      <c r="B59" s="48" t="n">
        <v>0.9919724022602153</v>
      </c>
      <c r="C59" s="7" t="inlineStr">
        <is>
          <t>Non overlapping buckets across the sampled range must sum to about one. This is the single best check that the strike spacing and the discounting are right.</t>
        </is>
      </c>
    </row>
    <row r="60" ht="40" customHeight="1">
      <c r="A60" s="43" t="inlineStr">
        <is>
          <t>Forward from two strikes agrees to</t>
        </is>
      </c>
      <c r="B60" s="48" t="n">
        <v>0.04703742364472419</v>
      </c>
      <c r="C60" s="7" t="inlineStr">
        <is>
          <t>The forward solved from put call parity at two different strikes must agree. A large gap means one of the quotes is stale.</t>
        </is>
      </c>
    </row>
    <row r="61" ht="40" customHeight="1">
      <c r="A61" s="43" t="inlineStr">
        <is>
          <t>Call and put implied volatility differ by</t>
        </is>
      </c>
      <c r="B61" s="48" t="n">
        <v>0</v>
      </c>
      <c r="C61" s="7" t="inlineStr">
        <is>
          <t>At the anchor strike the call and the put must solve to the same implied volatility. If they do not, the forward is wrong and every figure downstream inherits the error.</t>
        </is>
      </c>
    </row>
    <row r="63">
      <c r="A63" s="3" t="inlineStr">
        <is>
          <t>MarketXLS Functions Used in This Sheet</t>
        </is>
      </c>
    </row>
    <row r="64">
      <c r="A64" s="9" t="inlineStr">
        <is>
          <t>=OptionSymbol(symbol,expiry,"Call",strike)</t>
        </is>
      </c>
      <c r="B64" s="7" t="inlineStr">
        <is>
          <t>Symbol at each body strike</t>
        </is>
      </c>
    </row>
    <row r="65">
      <c r="A65" s="9" t="inlineStr">
        <is>
          <t>=Bid(optionSymbol)</t>
        </is>
      </c>
      <c r="B65" s="7" t="inlineStr">
        <is>
          <t>Bid used to build the butterfly price</t>
        </is>
      </c>
    </row>
    <row r="66">
      <c r="A66" s="9" t="inlineStr">
        <is>
          <t>=Ask(optionSymbol)</t>
        </is>
      </c>
      <c r="B66" s="7" t="inlineStr">
        <is>
          <t>Ask used to build the butterfly price</t>
        </is>
      </c>
    </row>
    <row r="67">
      <c r="A67" s="9" t="inlineStr">
        <is>
          <t>=OPT_DaysToExpiration(optionSymbol)</t>
        </is>
      </c>
      <c r="B67" s="7" t="inlineStr">
        <is>
          <t>Time to expiration, which sets the discount factor</t>
        </is>
      </c>
    </row>
    <row r="68">
      <c r="A68" s="9" t="inlineStr">
        <is>
          <t>=ImpliedVolatility30d($B$4)</t>
        </is>
      </c>
      <c r="B68" s="7" t="inlineStr">
        <is>
          <t>The single volatility the comparison column uses</t>
        </is>
      </c>
    </row>
    <row r="69">
      <c r="A69" s="10" t="inlineStr">
        <is>
          <t>These are live MarketXLS formulas and they drive every value on this sheet.</t>
        </is>
      </c>
    </row>
    <row r="71">
      <c r="A71" s="11" t="inlineStr">
        <is>
          <t>Powered by MarketXLS   |   https://marketxls.com   |   Book a demo: https://marketxls.com/book-demo</t>
        </is>
      </c>
    </row>
  </sheetData>
  <mergeCells count="16">
    <mergeCell ref="A1:H1"/>
    <mergeCell ref="B66:H66"/>
    <mergeCell ref="A3:H3"/>
    <mergeCell ref="C60:H60"/>
    <mergeCell ref="A55:H55"/>
    <mergeCell ref="A69:H69"/>
    <mergeCell ref="A57:H57"/>
    <mergeCell ref="B65:H65"/>
    <mergeCell ref="B67:H67"/>
    <mergeCell ref="A63:H63"/>
    <mergeCell ref="B68:H68"/>
    <mergeCell ref="A71:H71"/>
    <mergeCell ref="C61:H61"/>
    <mergeCell ref="B64:H64"/>
    <mergeCell ref="A5:H5"/>
    <mergeCell ref="C59:H5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2026-08-15T18:41:35Z</dcterms:created>
  <dcterms:modified xsi:type="dcterms:W3CDTF">2026-08-15T18:41:35Z</dcterms:modified>
</cp:coreProperties>
</file>